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OG economie/SOP/"/>
    </mc:Choice>
  </mc:AlternateContent>
  <xr:revisionPtr revIDLastSave="4" documentId="8_{52AD4BD4-6FF5-4E27-A033-F61AB3BB129A}" xr6:coauthVersionLast="47" xr6:coauthVersionMax="47" xr10:uidLastSave="{B35C9A51-7E62-47C5-91EC-9F8EEF9CEFF5}"/>
  <workbookProtection workbookAlgorithmName="SHA-512" workbookHashValue="4RVtYg7VJmJ3iUjGAe7HmXB9JcWYYCBoPtSXb7hJF4iSWygTwnJhaQyyQfZR4rSeqgiBGmPDkH7lQ/KyvbRXHQ==" workbookSaltValue="3kOl5hMPQVrEbba2FnTO3w==" workbookSpinCount="100000" lockStructure="1"/>
  <bookViews>
    <workbookView xWindow="28680" yWindow="-120" windowWidth="29040" windowHeight="175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Opleidingen!$A$75:$A$104</definedName>
    <definedName name="cohorten">Parameters!$A$97:$A$100</definedName>
    <definedName name="Dienstverlening">Opleidingen!$A$2:$A$18</definedName>
    <definedName name="Economie">Opleidingen!$A$21:$A$57</definedName>
    <definedName name="Electrotechniek">Opleidingen!$A$107:$A$124</definedName>
    <definedName name="Gezondheidszorg">Opleidingen!$A$60:$A$64</definedName>
    <definedName name="ICT">Opleidingen!$A$127:$A$132</definedName>
    <definedName name="Mobiliteit">Opleidingen!$A$68:$A$72</definedName>
    <definedName name="Technologie">Opleidingen!$A$67:$A$157</definedName>
    <definedName name="VRIJ">Parameters!$A$4:$A$27</definedName>
    <definedName name="Welzijn">Opleidingen!$A$160:$A$169</definedName>
    <definedName name="Werktuigbouwkunde">Opleidingen!$A$135:$A$157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2" l="1"/>
  <c r="L69" i="2"/>
  <c r="K69" i="2"/>
  <c r="C66" i="2"/>
  <c r="I66" i="2"/>
  <c r="H66" i="2"/>
  <c r="F66" i="2"/>
  <c r="B66" i="2"/>
  <c r="I65" i="2"/>
  <c r="H65" i="2"/>
  <c r="F65" i="2"/>
  <c r="C65" i="2"/>
  <c r="B65" i="2"/>
  <c r="K64" i="2"/>
  <c r="K71" i="2"/>
  <c r="K48" i="2"/>
  <c r="K47" i="2"/>
  <c r="L71" i="2"/>
  <c r="I68" i="2"/>
  <c r="H68" i="2"/>
  <c r="F68" i="2"/>
  <c r="C68" i="2"/>
  <c r="B68" i="2"/>
  <c r="I67" i="2"/>
  <c r="H67" i="2"/>
  <c r="F67" i="2"/>
  <c r="C67" i="2"/>
  <c r="B67" i="2"/>
  <c r="N13" i="1"/>
  <c r="K65" i="2" l="1"/>
  <c r="K68" i="2"/>
  <c r="K66" i="2"/>
  <c r="L66" i="2"/>
  <c r="K67" i="2"/>
  <c r="L65" i="2"/>
  <c r="L67" i="2"/>
  <c r="L68" i="2"/>
  <c r="K52" i="2"/>
  <c r="L61" i="2" l="1"/>
  <c r="K61" i="2"/>
  <c r="L60" i="2"/>
  <c r="K60" i="2"/>
  <c r="K39" i="2"/>
  <c r="N5" i="1"/>
  <c r="K57" i="2"/>
  <c r="L57" i="2"/>
  <c r="K58" i="2"/>
  <c r="L58" i="2"/>
  <c r="K59" i="2"/>
  <c r="L59" i="2"/>
  <c r="L56" i="2"/>
  <c r="K56" i="2"/>
  <c r="L55" i="2"/>
  <c r="K55" i="2"/>
  <c r="L28" i="2"/>
  <c r="K28" i="2"/>
  <c r="L62" i="2"/>
  <c r="K62" i="2"/>
  <c r="L39" i="2"/>
  <c r="L63" i="2"/>
  <c r="K63" i="2"/>
  <c r="J36" i="1"/>
  <c r="N9" i="1" l="1"/>
  <c r="L53" i="2"/>
  <c r="K53" i="2"/>
  <c r="L54" i="2"/>
  <c r="K54" i="2"/>
  <c r="K51" i="2" l="1"/>
  <c r="J30" i="1" l="1"/>
  <c r="L40" i="2" l="1"/>
  <c r="K40" i="2"/>
  <c r="K37" i="2"/>
  <c r="L37" i="2"/>
  <c r="L33" i="2" l="1"/>
  <c r="K33" i="2"/>
  <c r="L35" i="2"/>
  <c r="K35" i="2"/>
  <c r="L44" i="2" l="1"/>
  <c r="K44" i="2"/>
  <c r="L45" i="2" l="1"/>
  <c r="K45" i="2"/>
  <c r="F22" i="11" l="1"/>
  <c r="L48" i="2" l="1"/>
  <c r="L46" i="2"/>
  <c r="K46" i="2"/>
  <c r="L49" i="2"/>
  <c r="K49" i="2"/>
  <c r="F20" i="11"/>
  <c r="F19" i="11"/>
  <c r="F27" i="11"/>
  <c r="F24" i="11"/>
  <c r="F9" i="11" l="1"/>
  <c r="L50" i="2"/>
  <c r="K50" i="2"/>
  <c r="F8" i="11" l="1"/>
  <c r="F7" i="11" l="1"/>
  <c r="N7" i="1" l="1"/>
  <c r="O18" i="1" s="1"/>
  <c r="L43" i="2"/>
  <c r="L38" i="2"/>
  <c r="L32" i="2"/>
  <c r="L34" i="2"/>
  <c r="L36" i="2"/>
  <c r="L51" i="2"/>
  <c r="L30" i="2"/>
  <c r="L31" i="2"/>
  <c r="L41" i="2"/>
  <c r="L42" i="2"/>
  <c r="K42" i="2"/>
  <c r="K43" i="2"/>
  <c r="K38" i="2"/>
  <c r="K32" i="2"/>
  <c r="K34" i="2"/>
  <c r="K36" i="2"/>
  <c r="K30" i="2"/>
  <c r="K31" i="2"/>
  <c r="K41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3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87" i="2"/>
  <c r="B86" i="2"/>
  <c r="D84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D11" i="1" l="1"/>
  <c r="I3" i="5" s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<sst xmlns="http://schemas.openxmlformats.org/spreadsheetml/2006/main" count="645" uniqueCount="347">
  <si>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</si>
  <si>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</si>
  <si>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</si>
  <si>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</si>
  <si>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</si>
  <si>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</si>
  <si>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</si>
  <si>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</si>
  <si>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</si>
  <si>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</si>
  <si>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</si>
  <si>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</si>
  <si>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</si>
  <si>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</si>
  <si>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</si>
  <si>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</si>
  <si>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</si>
  <si>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</si>
  <si>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</si>
  <si>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</si>
  <si>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</si>
  <si>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</si>
  <si>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</si>
  <si>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</si>
  <si>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</si>
  <si>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</si>
  <si>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</si>
  <si>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</si>
  <si>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</si>
  <si>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</si>
  <si>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</si>
  <si>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</si>
  <si>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</si>
  <si>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</si>
  <si>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</si>
  <si>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</si>
  <si>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</si>
  <si>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</si>
  <si>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</si>
  <si>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</si>
  <si>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</si>
  <si>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</si>
  <si>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</si>
  <si>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</si>
  <si>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</si>
  <si>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</si>
  <si>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</si>
  <si>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</si>
  <si>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</si>
  <si>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</si>
  <si>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</si>
  <si>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</si>
  <si>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</si>
  <si>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</si>
  <si>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</si>
  <si>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</si>
  <si>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</si>
  <si>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</si>
  <si>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</si>
  <si>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</si>
  <si>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</si>
  <si>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</si>
  <si>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</si>
  <si>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</si>
  <si>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</si>
  <si>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</si>
  <si>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</si>
  <si>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</si>
  <si>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</si>
  <si>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</si>
  <si>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</si>
  <si>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</si>
  <si>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</si>
  <si>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</si>
  <si>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</si>
  <si>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</si>
  <si>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</si>
  <si>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</si>
  <si>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</si>
  <si>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</si>
  <si>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</si>
  <si>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</si>
  <si>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</si>
  <si>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</si>
  <si>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</si>
  <si>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</si>
  <si>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</si>
  <si>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</si>
  <si>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</si>
  <si>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</si>
  <si>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</si>
  <si>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</si>
  <si>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</si>
  <si>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</si>
  <si>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</si>
  <si>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</si>
  <si>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</si>
  <si>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</si>
  <si>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</si>
  <si>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</si>
  <si>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</si>
  <si>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</si>
  <si>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</si>
  <si>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</si>
  <si>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</si>
  <si>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</si>
  <si>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</si>
  <si>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</si>
  <si>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</si>
  <si>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</si>
  <si>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</si>
  <si>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</si>
  <si>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</si>
  <si>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</si>
  <si>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</si>
  <si>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</si>
  <si>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</si>
  <si>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</si>
  <si>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</si>
  <si>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</si>
  <si>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</si>
  <si>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</si>
  <si>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</si>
  <si>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</si>
  <si>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</si>
  <si>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</si>
  <si>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</si>
  <si>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</si>
  <si>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</si>
  <si>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</si>
  <si>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</si>
  <si>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</si>
  <si>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</si>
  <si>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</si>
  <si>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</si>
  <si>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</si>
  <si>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</si>
  <si>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</si>
  <si>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</si>
  <si>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</si>
  <si>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</si>
  <si>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</si>
  <si>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</si>
  <si>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</si>
  <si>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</si>
  <si>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</si>
  <si>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</si>
  <si>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</si>
  <si>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</si>
  <si>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</si>
  <si>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</si>
  <si>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</si>
  <si>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</si>
  <si>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</si>
  <si>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</si>
  <si>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</si>
  <si>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</si>
  <si>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</si>
  <si>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</si>
  <si>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</si>
  <si>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</si>
  <si>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</si>
  <si>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</si>
  <si>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</si>
  <si>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</si>
  <si>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</si>
  <si>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</si>
  <si>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</si>
  <si>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</si>
  <si>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</si>
  <si>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</si>
  <si>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</si>
  <si>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2021/2022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</si>
  <si>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</si>
  <si>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</si>
  <si>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</si>
  <si>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</si>
  <si>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</si>
  <si>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</si>
  <si>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25167 - Verkoper</t>
  </si>
  <si>
    <t>25371 - Logistiek medewerker</t>
  </si>
  <si>
    <t>25498 - Helpende Zorg &amp; Welzijn</t>
  </si>
  <si>
    <t>25499 - Medewerker facilitaire dienstverlening</t>
  </si>
  <si>
    <t>25608 - Facalitair leidinggevende</t>
  </si>
  <si>
    <t>25690 - Beveiliger 2</t>
  </si>
  <si>
    <t>25691 - Beveiliger (doorstroom)</t>
  </si>
  <si>
    <t>25691 - Beveiliger 3</t>
  </si>
  <si>
    <t>Opleidingen Economie</t>
  </si>
  <si>
    <t>23296 - Business Services</t>
  </si>
  <si>
    <t>23354 - Commercie</t>
  </si>
  <si>
    <t>25132 - (Junior) accountmanager</t>
  </si>
  <si>
    <t>25134 - Commercieel medewerker</t>
  </si>
  <si>
    <t>25138 - Bedrijfsadministrateur</t>
  </si>
  <si>
    <t>25139 - Financieel administratief medewerker</t>
  </si>
  <si>
    <t>25140 - Junior Assistent-Accountant</t>
  </si>
  <si>
    <t>25149 - Medewerker (financiële) administratie</t>
  </si>
  <si>
    <t>25150 - Medewerker secretariaat en receptie</t>
  </si>
  <si>
    <t>25152 - Secretaresse</t>
  </si>
  <si>
    <t>25155 - Verkoopspecialist</t>
  </si>
  <si>
    <t>25162 - Manager retail</t>
  </si>
  <si>
    <t>25166 - Ondernemer retail</t>
  </si>
  <si>
    <t>25372 - Logistiek teamleider</t>
  </si>
  <si>
    <t>25388 - Logistiek supervisor</t>
  </si>
  <si>
    <t>25573 - Office assistant</t>
  </si>
  <si>
    <t>25574 - Management assistant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</si>
  <si>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</si>
  <si>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</si>
  <si>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</si>
  <si>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</si>
  <si>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</si>
  <si>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</si>
  <si>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25774 - Logistiek Plus (Chauffeur)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</si>
  <si>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</si>
  <si>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</si>
  <si>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</si>
  <si>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</si>
  <si>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</si>
  <si>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</si>
  <si>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</si>
  <si>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</si>
  <si>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</si>
  <si>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</si>
  <si>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</si>
  <si>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</si>
  <si>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</si>
  <si>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25018 - Meubelmaker/(scheeps)interieurbouwer</t>
  </si>
  <si>
    <t>25104 - Middenkaderfunctionaris Bouw</t>
  </si>
  <si>
    <t>25105 - Middenkaderfunctionaris Infra</t>
  </si>
  <si>
    <t>25583 - Montagemedewerker houttechniek</t>
  </si>
  <si>
    <t>25585 - Allround montagemedewerker houttechniek</t>
  </si>
  <si>
    <t>25588 - Gezel Schilder</t>
  </si>
  <si>
    <t>25589 - Schilder</t>
  </si>
  <si>
    <t>25750 - Allround vakman gww</t>
  </si>
  <si>
    <t>25756 - Vakman gww</t>
  </si>
  <si>
    <t>25786 - Metselaar</t>
  </si>
  <si>
    <t>25827 - Tegelzetter</t>
  </si>
  <si>
    <t>25828 - Allround Timmerman</t>
  </si>
  <si>
    <t>25829 - Timmerman</t>
  </si>
  <si>
    <t>25870 - Middenkaderfunctionaris bouw</t>
  </si>
  <si>
    <t>26017 - Keukenmonteur</t>
  </si>
  <si>
    <t>26017 - Keukenmonteur (cross-over)</t>
  </si>
  <si>
    <t>26022 - Allround Keukenmonteur</t>
  </si>
  <si>
    <t>Elektrotechniek</t>
  </si>
  <si>
    <t>25297 - Technicus middenkader engineering 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</si>
  <si>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</si>
  <si>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</si>
  <si>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</si>
  <si>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25898 - Technicus engineering elektrotechniek</t>
  </si>
  <si>
    <t>ICT-opleidingen</t>
  </si>
  <si>
    <t>25604 - Software developer</t>
  </si>
  <si>
    <t>25605 - Allround medewerker IT systems and devices</t>
  </si>
  <si>
    <t>25606 - Expert IT systems and devices</t>
  </si>
  <si>
    <t>25607 - Medewerker ICT support</t>
  </si>
  <si>
    <t xml:space="preserve">25161 - Technisch leidinggevende </t>
  </si>
  <si>
    <t>25286 - Allround constructiewerker</t>
  </si>
  <si>
    <t>25289 - Allround plaatwerker</t>
  </si>
  <si>
    <t>25315 - Tekenaar werktuigbouw</t>
  </si>
  <si>
    <t>25340 - Eerste monteur mechatronica</t>
  </si>
  <si>
    <t>25624 - Allround Precisieverspaner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</si>
  <si>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</si>
  <si>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</si>
  <si>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</si>
  <si>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</si>
  <si>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</si>
  <si>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</si>
  <si>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</si>
  <si>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</si>
  <si>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</si>
  <si>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</si>
  <si>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</si>
  <si>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</si>
  <si>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</si>
  <si>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</si>
  <si>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</si>
  <si>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</si>
  <si>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</si>
  <si>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</si>
  <si>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</si>
  <si>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</si>
  <si>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</si>
  <si>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</si>
  <si>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</si>
  <si>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25745 - Assistent mobiliteitsbranche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</si>
  <si>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</si>
  <si>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</si>
  <si>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</si>
  <si>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</si>
  <si>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</si>
  <si>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</si>
  <si>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</si>
  <si>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25751 - Allround waterbouwer        </t>
  </si>
  <si>
    <t>25757 - Waterbouwer</t>
  </si>
  <si>
    <t>25755 - Straatmaker                                    </t>
  </si>
  <si>
    <t>25754 - Opperman bestratingen</t>
  </si>
  <si>
    <t>25924 - Meubelmaker/(scheeps)interieurbouwer</t>
  </si>
  <si>
    <t>25933 - Monteur metalen daken en gevels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</si>
  <si>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</si>
  <si>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</si>
  <si>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</si>
  <si>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</si>
  <si>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</si>
  <si>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</si>
  <si>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</si>
  <si>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</si>
  <si>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</si>
  <si>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</si>
  <si>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</si>
  <si>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</si>
  <si>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</si>
  <si>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</si>
  <si>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</si>
  <si>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25932 - Zinkwerker (BTO)</t>
  </si>
  <si>
    <t>25936 - Allround zinkwerker (BTO)</t>
  </si>
  <si>
    <t>25825 - Technicus service en onderhoud werktuigkundige installaties (BTO) doorstroom vanuit niveau 3</t>
  </si>
  <si>
    <t xml:space="preserve">25999 - Medewerker ICT </t>
  </si>
  <si>
    <t>25998 - Software developer</t>
  </si>
  <si>
    <t>25340 - Eerste monteur mechatronica (BTO)</t>
  </si>
  <si>
    <t>25624 - Allround Precisieverspaner (BTO)</t>
  </si>
  <si>
    <t>25289 - Allround plaatwerker (BTO)</t>
  </si>
  <si>
    <t>25919 - Technicus engineering werktuigbouwkunde</t>
  </si>
  <si>
    <t>25896 - Productietechnicus</t>
  </si>
  <si>
    <t>25894 - Medewerker productietechniek  (BTO)</t>
  </si>
  <si>
    <t>25895 - Allround medewerker productietechniek (BTO)</t>
  </si>
  <si>
    <t>25892 - Eerste monteur mechatronica (BTO)</t>
  </si>
  <si>
    <t>25893 - Technicus mechatronica (BTO)</t>
  </si>
  <si>
    <t>25286 - Allround constructiewerker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</si>
  <si>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</si>
  <si>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</si>
  <si>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</si>
  <si>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</si>
  <si>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 xml:space="preserve">25668 - Basis technicus voertuigen en mobiele werktuigen 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</si>
  <si>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</si>
  <si>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</si>
  <si>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</si>
  <si>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</si>
  <si>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</si>
  <si>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</si>
  <si>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</si>
  <si>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</si>
  <si>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</si>
  <si>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25151 - Managementassistent/Directiesecretaresse</t>
  </si>
  <si>
    <t>Gezondheidzorg</t>
  </si>
  <si>
    <t>25874 - Commercieel medewerker</t>
  </si>
  <si>
    <t>25877 - Junior accountmanager</t>
  </si>
  <si>
    <t>25880 - Ondernemer handel (doorstroom + sprint)</t>
  </si>
  <si>
    <t>25785 - Allround metselaar</t>
  </si>
  <si>
    <t>25969 - Doktersassistent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</si>
</sst>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wrapText="1"/>
    </xf>
    <xf numFmtId="170" fontId="1" fillId="2" borderId="5" xfId="0" applyNumberFormat="1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zoomScaleNormal="100" workbookViewId="0">
      <selection activeCell="J35" sqref="J35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40" t="s">
        <v>0</v>
      </c>
      <c r="C2" s="141"/>
      <c r="D2" s="141"/>
      <c r="E2" s="141"/>
      <c r="F2" s="141"/>
      <c r="G2" s="141"/>
      <c r="H2" s="141"/>
      <c r="I2" s="141"/>
      <c r="J2" s="141"/>
      <c r="K2" s="142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25809</v>
      </c>
      <c r="E4" s="76"/>
      <c r="F4" s="76"/>
      <c r="G4" s="137" t="s">
        <v>333</v>
      </c>
      <c r="H4" s="76"/>
      <c r="I4" s="76"/>
      <c r="J4" s="76"/>
      <c r="K4" s="76"/>
      <c r="M4" s="94" t="s">
        <v>1</v>
      </c>
      <c r="N4" s="101" t="str">
        <f>VLOOKUP($D$5,Parameters!$A$90:$B$94,2,FALSE)</f>
        <v>Economie</v>
      </c>
    </row>
    <row r="5" spans="2:14" ht="15" customHeight="1" x14ac:dyDescent="0.3">
      <c r="B5" s="100" t="s">
        <v>1</v>
      </c>
      <c r="C5" s="100"/>
      <c r="D5" s="143" t="s">
        <v>166</v>
      </c>
      <c r="E5" s="145"/>
      <c r="F5" s="100"/>
      <c r="G5" s="77" t="s">
        <v>5</v>
      </c>
      <c r="H5" s="152" t="s">
        <v>177</v>
      </c>
      <c r="I5" s="152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334</v>
      </c>
      <c r="C6" s="100"/>
      <c r="D6" s="143" t="s">
        <v>216</v>
      </c>
      <c r="E6" s="144"/>
      <c r="F6" s="144"/>
      <c r="G6" s="144"/>
      <c r="H6" s="144"/>
      <c r="I6" s="144"/>
      <c r="J6" s="144"/>
      <c r="K6" s="145"/>
      <c r="M6" s="94" t="s">
        <v>7</v>
      </c>
      <c r="N6" s="94" t="str">
        <f>VLOOKUP($D$7,Parameters!$A$74:$E$75,2,FALSE)</f>
        <v>BOL</v>
      </c>
    </row>
    <row r="7" spans="2:14" ht="15" customHeight="1" x14ac:dyDescent="0.3">
      <c r="B7" s="100" t="s">
        <v>7</v>
      </c>
      <c r="C7" s="100"/>
      <c r="D7" s="143" t="s">
        <v>121</v>
      </c>
      <c r="E7" s="145"/>
      <c r="F7" s="100"/>
      <c r="G7" s="102" t="str">
        <f>"(Niveau "&amp;N9&amp;")"</f>
        <v>(Niveau 3)</v>
      </c>
      <c r="H7" s="102"/>
      <c r="I7" s="100"/>
      <c r="J7" s="100"/>
      <c r="K7" s="100"/>
      <c r="M7" s="94" t="s">
        <v>10</v>
      </c>
      <c r="N7" s="94">
        <f>VLOOKUP($D$7,Parameters!$A$74:$E$75,3,FALSE)</f>
        <v>2</v>
      </c>
    </row>
    <row r="8" spans="2:14" ht="15" customHeight="1" x14ac:dyDescent="0.3">
      <c r="B8" s="100" t="s">
        <v>60</v>
      </c>
      <c r="C8" s="100"/>
      <c r="D8" s="143" t="s">
        <v>276</v>
      </c>
      <c r="E8" s="145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VLOOKUP($D$8,Parameters!$A$97:$B$100,2,FALSE)</f>
        <v>1</v>
      </c>
    </row>
    <row r="9" spans="2:14" ht="15" customHeight="1" x14ac:dyDescent="0.3">
      <c r="B9" s="100" t="s">
        <v>335</v>
      </c>
      <c r="C9" s="100"/>
      <c r="D9" s="143" t="s">
        <v>136</v>
      </c>
      <c r="E9" s="145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VLOOKUP($D$6,Opleidingen!A2:B175,2,FALSE)</f>
        <v>3</v>
      </c>
    </row>
    <row r="10" spans="2:14" ht="15" customHeight="1" x14ac:dyDescent="0.3">
      <c r="B10" s="100" t="s">
        <v>336</v>
      </c>
      <c r="C10" s="100"/>
      <c r="D10" s="98">
        <v>45901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18</v>
      </c>
    </row>
    <row r="11" spans="2:14" ht="15" customHeight="1" x14ac:dyDescent="0.3">
      <c r="B11" s="100" t="s">
        <v>337</v>
      </c>
      <c r="C11" s="100"/>
      <c r="D11" s="139">
        <f>IF($N$10&lt;10,DATE(YEAR($D$10),MONTH($D$10)+($N$11),DAY($D$10)-1),DATE(YEAR($D$10),MONTH($D$10)+($N$10-2+$N$11*2),DAY($D$10)-1))</f>
        <v>46507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2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25809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46"/>
      <c r="C17" s="146"/>
      <c r="D17" s="146"/>
      <c r="E17" s="146"/>
      <c r="F17" s="147"/>
      <c r="G17" s="148" t="s">
        <v>25</v>
      </c>
      <c r="H17" s="149"/>
      <c r="I17" s="150" t="s">
        <v>26</v>
      </c>
      <c r="J17" s="151"/>
      <c r="K17" s="107" t="s">
        <v>27</v>
      </c>
      <c r="M17" s="108" t="s">
        <v>28</v>
      </c>
      <c r="N17" s="27" t="s">
        <v>338</v>
      </c>
      <c r="O17" s="69" t="s">
        <v>339</v>
      </c>
    </row>
    <row r="18" spans="1:18" x14ac:dyDescent="0.3">
      <c r="A18" s="100"/>
      <c r="B18" s="153" t="s">
        <v>30</v>
      </c>
      <c r="C18" s="154"/>
      <c r="D18" s="154"/>
      <c r="E18" s="154"/>
      <c r="F18" s="154"/>
      <c r="G18" s="155">
        <f>N18</f>
        <v>2000</v>
      </c>
      <c r="H18" s="156"/>
      <c r="I18" s="155">
        <f>(I19+I20+I21)</f>
        <v>2046.5</v>
      </c>
      <c r="J18" s="156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IF(ISERROR(O18),(VLOOKUP($D$9,Parameters!$A$4:$R$71,$N$7,FALSE)),O18)</f>
        <v>2000</v>
      </c>
      <c r="O18" s="110">
        <f>VLOOKUP(($D$4),Parameters!$A$4:$R$71,$N$7,FALSE)</f>
        <v>2000</v>
      </c>
      <c r="Q18" s="111"/>
      <c r="R18" s="111"/>
    </row>
    <row r="19" spans="1:18" x14ac:dyDescent="0.3">
      <c r="A19" s="100"/>
      <c r="B19" s="153" t="s">
        <v>31</v>
      </c>
      <c r="C19" s="154"/>
      <c r="D19" s="154"/>
      <c r="E19" s="154"/>
      <c r="F19" s="154"/>
      <c r="G19" s="155">
        <f>N19</f>
        <v>1025</v>
      </c>
      <c r="H19" s="156"/>
      <c r="I19" s="155">
        <f>IF(G19="-","-",G19*(100%+Parameters!$B$84))</f>
        <v>1055.75</v>
      </c>
      <c r="J19" s="156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IF(ISERROR(O19),(VLOOKUP($D$9,Parameters!$A$4:$R$71,$N$7+3,FALSE)),O19)</f>
        <v>1025</v>
      </c>
      <c r="O19" s="110">
        <f>VLOOKUP($D$4,Parameters!$A$4:$R$71,$N$7+3,FALSE)</f>
        <v>1025</v>
      </c>
      <c r="Q19" s="111"/>
      <c r="R19" s="112"/>
    </row>
    <row r="20" spans="1:18" x14ac:dyDescent="0.3">
      <c r="A20" s="100"/>
      <c r="B20" s="153" t="s">
        <v>32</v>
      </c>
      <c r="C20" s="154"/>
      <c r="D20" s="154"/>
      <c r="E20" s="154"/>
      <c r="F20" s="154"/>
      <c r="G20" s="155">
        <f>N20</f>
        <v>450</v>
      </c>
      <c r="H20" s="156"/>
      <c r="I20" s="155">
        <f>IF(G20="-","-",G20*(100%))</f>
        <v>450</v>
      </c>
      <c r="J20" s="156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IF(ISERROR(O20),(VLOOKUP($D$9,Parameters!$A$4:$R$71,$N$7+6,FALSE)),O20)</f>
        <v>450</v>
      </c>
      <c r="O20" s="110">
        <f>VLOOKUP($D$4,Parameters!$A$4:$R$71,$N$7+6,FALSE)</f>
        <v>450</v>
      </c>
      <c r="Q20" s="111"/>
      <c r="R20" s="111"/>
    </row>
    <row r="21" spans="1:18" x14ac:dyDescent="0.3">
      <c r="A21" s="100"/>
      <c r="B21" s="153" t="s">
        <v>33</v>
      </c>
      <c r="C21" s="154"/>
      <c r="D21" s="154"/>
      <c r="E21" s="154"/>
      <c r="F21" s="154"/>
      <c r="G21" s="155">
        <f>N21</f>
        <v>525</v>
      </c>
      <c r="H21" s="156"/>
      <c r="I21" s="155">
        <f>IF(G21="-","-",G21*(100%+Parameters!$B$84))</f>
        <v>540.75</v>
      </c>
      <c r="J21" s="156"/>
      <c r="K21" s="105" t="s">
        <v>34</v>
      </c>
      <c r="M21" s="94" t="s">
        <v>34</v>
      </c>
      <c r="N21" s="109">
        <f>IF(ISERROR(O21),(VLOOKUP($D$9,Parameters!$A$4:$R$71,$N$7+9,FALSE)),O21)</f>
        <v>525</v>
      </c>
      <c r="O21" s="110">
        <f>VLOOKUP($D$4,Parameters!$A$4:$R$71,$N$7+9,FALSE)</f>
        <v>525</v>
      </c>
      <c r="Q21" s="111"/>
      <c r="R21" s="111"/>
    </row>
    <row r="22" spans="1:18" x14ac:dyDescent="0.3">
      <c r="A22" s="100"/>
      <c r="B22" s="153" t="s">
        <v>35</v>
      </c>
      <c r="C22" s="154"/>
      <c r="D22" s="154"/>
      <c r="E22" s="154"/>
      <c r="F22" s="154"/>
      <c r="G22" s="155">
        <f>N22</f>
        <v>615</v>
      </c>
      <c r="H22" s="156"/>
      <c r="I22" s="155">
        <f>IF(G22="-","-",G22*(100%+Parameters!$B$84))</f>
        <v>633.45000000000005</v>
      </c>
      <c r="J22" s="156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IF(ISERROR(O22),(VLOOKUP($D$9,Parameters!$A$4:$R$71,$N$7+12,FALSE)),O22)</f>
        <v>615</v>
      </c>
      <c r="O22" s="110">
        <f>VLOOKUP($D$4,Parameters!$A$4:$R$71,$N$7+12,FALSE)</f>
        <v>615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58" t="s">
        <v>36</v>
      </c>
      <c r="E24" s="159"/>
      <c r="F24" s="159"/>
      <c r="G24" s="159"/>
      <c r="H24" s="159"/>
      <c r="I24" s="160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57" t="s">
        <v>40</v>
      </c>
      <c r="F25" s="157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61" t="str">
        <f>"Leerjaar "&amp;$N$8</f>
        <v>Leerjaar 1</v>
      </c>
      <c r="C26" s="113" t="s">
        <v>46</v>
      </c>
      <c r="D26" s="123">
        <v>29</v>
      </c>
      <c r="E26" s="162">
        <f>(D26*Parameters!$B$85)/60</f>
        <v>24.166666666666668</v>
      </c>
      <c r="F26" s="163"/>
      <c r="G26" s="124">
        <f>IF($N$6="BOL",Parameters!C78,Parameters!B78)</f>
        <v>9.5</v>
      </c>
      <c r="H26" s="125">
        <f>E26*G26</f>
        <v>229.58333333333334</v>
      </c>
      <c r="I26" s="126"/>
      <c r="J26" s="126"/>
      <c r="K26" s="125">
        <f>J26+I26+H26</f>
        <v>229.58333333333334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61"/>
      <c r="C27" s="113" t="s">
        <v>48</v>
      </c>
      <c r="D27" s="126">
        <v>21</v>
      </c>
      <c r="E27" s="162">
        <f>(D27*Parameters!$B$85)/60</f>
        <v>17.5</v>
      </c>
      <c r="F27" s="163"/>
      <c r="G27" s="124">
        <f>IF($N$6="BOL",Parameters!C79,Parameters!B79)</f>
        <v>9.5</v>
      </c>
      <c r="H27" s="125">
        <f>E27*G27</f>
        <v>166.25</v>
      </c>
      <c r="I27" s="126"/>
      <c r="J27" s="126">
        <v>140</v>
      </c>
      <c r="K27" s="125">
        <f>J27+I27+H27</f>
        <v>306.25</v>
      </c>
      <c r="M27" s="101" t="s">
        <v>49</v>
      </c>
      <c r="N27" s="109">
        <f>N22*(100%+Parameters!$B$84)</f>
        <v>633.45000000000005</v>
      </c>
      <c r="O27" s="110">
        <f>N22</f>
        <v>615</v>
      </c>
      <c r="P27" s="110">
        <f>IF(H30+I30&gt;=O27,0,1)</f>
        <v>0</v>
      </c>
      <c r="Q27" s="111"/>
      <c r="R27" s="111"/>
    </row>
    <row r="28" spans="1:18" x14ac:dyDescent="0.3">
      <c r="A28" s="100"/>
      <c r="B28" s="161"/>
      <c r="C28" s="113" t="s">
        <v>50</v>
      </c>
      <c r="D28" s="126">
        <v>21</v>
      </c>
      <c r="E28" s="162">
        <f>(D28*Parameters!$B$85)/60</f>
        <v>17.5</v>
      </c>
      <c r="F28" s="163"/>
      <c r="G28" s="124">
        <f>IF($N$6="BOL",Parameters!C80,Parameters!B80)</f>
        <v>9.5</v>
      </c>
      <c r="H28" s="125">
        <f>E28*G28</f>
        <v>166.25</v>
      </c>
      <c r="I28" s="126"/>
      <c r="J28" s="126">
        <v>140</v>
      </c>
      <c r="K28" s="125">
        <f>J28+I28+H28</f>
        <v>306.25</v>
      </c>
      <c r="M28" s="101" t="s">
        <v>51</v>
      </c>
      <c r="N28" s="109">
        <f>IF(OR($N$6="BOL",$N$6="VRIJ"),0,N26*610/10)*(100%)</f>
        <v>0</v>
      </c>
      <c r="O28" s="110">
        <f>N28/(100%)</f>
        <v>0</v>
      </c>
      <c r="P28" s="110">
        <f>IF(J30&gt;=O28,0,1)</f>
        <v>0</v>
      </c>
      <c r="Q28" s="111"/>
      <c r="R28" s="111"/>
    </row>
    <row r="29" spans="1:18" x14ac:dyDescent="0.3">
      <c r="A29" s="100"/>
      <c r="B29" s="161"/>
      <c r="C29" s="113" t="s">
        <v>52</v>
      </c>
      <c r="D29" s="126">
        <v>21</v>
      </c>
      <c r="E29" s="162">
        <f>(D29*Parameters!$B$85)/60</f>
        <v>17.5</v>
      </c>
      <c r="F29" s="163"/>
      <c r="G29" s="124">
        <f>IF($N$6="BOL",Parameters!C81,Parameters!B81)</f>
        <v>8.5</v>
      </c>
      <c r="H29" s="125">
        <f>E29*G29</f>
        <v>148.75</v>
      </c>
      <c r="I29" s="126"/>
      <c r="J29" s="126">
        <v>140</v>
      </c>
      <c r="K29" s="125">
        <f>J29+I29+H29</f>
        <v>288.75</v>
      </c>
      <c r="M29" s="101" t="s">
        <v>53</v>
      </c>
      <c r="N29" s="109">
        <f>IF($N$6="BOL",N26*1000/10,IF($N$6="BBL",N26*850/10,0))*(100%+Parameters!$B$84)</f>
        <v>1030</v>
      </c>
      <c r="O29" s="110">
        <f>N29/(100%+Parameters!$B$84)</f>
        <v>1000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IF(K30&gt;Parameters!$D$84,"Teveel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710.83333333333337</v>
      </c>
      <c r="I30" s="130">
        <f>SUM(I26:I29)</f>
        <v>0</v>
      </c>
      <c r="J30" s="131">
        <f>SUM(J26:J29)</f>
        <v>420</v>
      </c>
      <c r="K30" s="131">
        <f>SUM(K26:K29)</f>
        <v>1130.8333333333335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61" t="str">
        <f>IF($N$11&gt;=2,"Leerjaar "&amp;$N$8+1,"")</f>
        <v>Leerjaar 2</v>
      </c>
      <c r="C32" s="113" t="s">
        <v>46</v>
      </c>
      <c r="D32" s="126">
        <v>19</v>
      </c>
      <c r="E32" s="162">
        <f>(D32*Parameters!$B$85)/60</f>
        <v>15.833333333333334</v>
      </c>
      <c r="F32" s="163"/>
      <c r="G32" s="124">
        <f>IF($N$11&gt;=2,IF($N$6="BOL",Parameters!C78,Parameters!B78),"-")</f>
        <v>9.5</v>
      </c>
      <c r="H32" s="125">
        <f>IF(G32&lt;&gt;"-",E32*G32,0)</f>
        <v>150.41666666666669</v>
      </c>
      <c r="I32" s="126">
        <v>0</v>
      </c>
      <c r="J32" s="126">
        <v>140</v>
      </c>
      <c r="K32" s="125">
        <f t="shared" ref="K32:K35" si="0">J32+I32+H32</f>
        <v>290.41666666666669</v>
      </c>
      <c r="M32" s="101" t="s">
        <v>47</v>
      </c>
      <c r="N32" s="109">
        <f>IF(N10-N26&gt;=10,10,N10-N26)</f>
        <v>8</v>
      </c>
      <c r="O32" s="110"/>
      <c r="P32" s="110"/>
      <c r="Q32" s="111"/>
      <c r="R32" s="111"/>
    </row>
    <row r="33" spans="1:18" x14ac:dyDescent="0.3">
      <c r="A33" s="100"/>
      <c r="B33" s="161"/>
      <c r="C33" s="113" t="s">
        <v>48</v>
      </c>
      <c r="D33" s="126">
        <v>19</v>
      </c>
      <c r="E33" s="162">
        <f>(D33*Parameters!$B$85)/60</f>
        <v>15.833333333333334</v>
      </c>
      <c r="F33" s="163"/>
      <c r="G33" s="124">
        <f>IF($N$11&gt;=2,IF($N$6="BOL",Parameters!C79,Parameters!B79),"-")</f>
        <v>9.5</v>
      </c>
      <c r="H33" s="125">
        <f t="shared" ref="H33:H35" si="1">IF(G33&lt;&gt;"-",E33*G33,0)</f>
        <v>150.41666666666669</v>
      </c>
      <c r="I33" s="126">
        <v>0</v>
      </c>
      <c r="J33" s="126">
        <v>140</v>
      </c>
      <c r="K33" s="125">
        <f t="shared" si="0"/>
        <v>290.41666666666669</v>
      </c>
      <c r="M33" s="101" t="s">
        <v>49</v>
      </c>
      <c r="N33" s="109">
        <f>IF(OR($N$6="BOL",$N$6="VRIJ"),0,N32*200/10)*(100%+Parameters!$B$84)</f>
        <v>0</v>
      </c>
      <c r="O33" s="110">
        <f>N33/(100%+Parameters!$B$84)</f>
        <v>0</v>
      </c>
      <c r="P33" s="110">
        <f>IF(H36+I36&gt;=O33,0,1)</f>
        <v>0</v>
      </c>
      <c r="Q33" s="111"/>
      <c r="R33" s="111"/>
    </row>
    <row r="34" spans="1:18" x14ac:dyDescent="0.3">
      <c r="B34" s="161"/>
      <c r="C34" s="113" t="s">
        <v>50</v>
      </c>
      <c r="D34" s="126">
        <v>16</v>
      </c>
      <c r="E34" s="162">
        <f>(D34*Parameters!$B$85)/60</f>
        <v>13.333333333333334</v>
      </c>
      <c r="F34" s="163"/>
      <c r="G34" s="124">
        <f>IF($N$11&gt;=2,IF($N$6="BOL",Parameters!C80,Parameters!B80),"-")</f>
        <v>9.5</v>
      </c>
      <c r="H34" s="125">
        <f t="shared" si="1"/>
        <v>126.66666666666667</v>
      </c>
      <c r="I34" s="126">
        <v>0</v>
      </c>
      <c r="J34" s="126">
        <v>140</v>
      </c>
      <c r="K34" s="125">
        <f t="shared" si="0"/>
        <v>266.66666666666669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3">
      <c r="B35" s="161"/>
      <c r="C35" s="113" t="s">
        <v>52</v>
      </c>
      <c r="D35" s="126"/>
      <c r="E35" s="162">
        <f>(D35*Parameters!$B$85)/60</f>
        <v>0</v>
      </c>
      <c r="F35" s="163"/>
      <c r="G35" s="124">
        <f>IF($N$11&gt;=2,IF($N$6="BOL",Parameters!C81,Parameters!B81),"-")</f>
        <v>8.5</v>
      </c>
      <c r="H35" s="125">
        <f t="shared" si="1"/>
        <v>0</v>
      </c>
      <c r="I35" s="126">
        <v>0</v>
      </c>
      <c r="J35" s="126">
        <v>140</v>
      </c>
      <c r="K35" s="125">
        <f t="shared" si="0"/>
        <v>140</v>
      </c>
      <c r="M35" s="101" t="s">
        <v>53</v>
      </c>
      <c r="N35" s="109">
        <f>IF($N$6="BOL",N32*1000/10,IF($N$6="BBL",N32*850/10,0))*(100%+Parameters!$B$84)</f>
        <v>824</v>
      </c>
      <c r="O35" s="110">
        <f>N35/(100%+Parameters!$B$84)</f>
        <v>800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IF(K36&gt;Parameters!$D$84,"Teveel uren?","")</f>
        <v/>
      </c>
      <c r="E36" s="128"/>
      <c r="F36" s="100"/>
      <c r="G36" s="129" t="str">
        <f>IF($N$11&gt;=2,"Totaal: ","")</f>
        <v xml:space="preserve">Totaal: </v>
      </c>
      <c r="H36" s="130">
        <f>SUM(H32:H35)</f>
        <v>427.50000000000006</v>
      </c>
      <c r="I36" s="130">
        <f>SUM(I32:I35)</f>
        <v>0</v>
      </c>
      <c r="J36" s="131">
        <f>SUM(J32:J35)</f>
        <v>560</v>
      </c>
      <c r="K36" s="131">
        <f>SUM(K32:K35)</f>
        <v>987.5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61" t="str">
        <f>IF($N$11&gt;=3,"Leerjaar "&amp;$N$8+2,"")</f>
        <v/>
      </c>
      <c r="C38" s="113" t="s">
        <v>46</v>
      </c>
      <c r="D38" s="126">
        <v>0</v>
      </c>
      <c r="E38" s="162">
        <f>(D38*Parameters!$B$85)/60</f>
        <v>0</v>
      </c>
      <c r="F38" s="163"/>
      <c r="G38" s="124" t="str">
        <f>IF($N$11&gt;=3,IF($N$6="BOL",Parameters!C78,Parameters!B78),"-")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3">
      <c r="B39" s="161"/>
      <c r="C39" s="113" t="s">
        <v>48</v>
      </c>
      <c r="D39" s="126">
        <v>0</v>
      </c>
      <c r="E39" s="162">
        <f>(D39*Parameters!$B$85)/60</f>
        <v>0</v>
      </c>
      <c r="F39" s="163"/>
      <c r="G39" s="124" t="str">
        <f>IF($N$11&gt;=3,IF($N$6="BOL",Parameters!C79,Parameters!B79),"-")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49</v>
      </c>
      <c r="N39" s="109">
        <f>IF(OR($N$6="BOL",$N$6="VRIJ"),0,N38*200/10)*(100%+Parameters!$B$84)</f>
        <v>0</v>
      </c>
      <c r="O39" s="110">
        <f>N39/(100%+Parameters!$B$84)</f>
        <v>0</v>
      </c>
      <c r="P39" s="110">
        <f>IF(H42+I42&gt;=O39,0,1)</f>
        <v>0</v>
      </c>
    </row>
    <row r="40" spans="1:18" x14ac:dyDescent="0.3">
      <c r="B40" s="161"/>
      <c r="C40" s="113" t="s">
        <v>50</v>
      </c>
      <c r="D40" s="126">
        <v>0</v>
      </c>
      <c r="E40" s="162">
        <f>(D40*Parameters!$B$85)/60</f>
        <v>0</v>
      </c>
      <c r="F40" s="163"/>
      <c r="G40" s="124" t="str">
        <f>IF($N$11&gt;=3,IF($N$6="BOL",Parameters!C80,Parameters!B80),"-")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61"/>
      <c r="C41" s="113" t="s">
        <v>52</v>
      </c>
      <c r="D41" s="126">
        <v>0</v>
      </c>
      <c r="E41" s="162">
        <f>(D41*Parameters!$B$85)/60</f>
        <v>0</v>
      </c>
      <c r="F41" s="163"/>
      <c r="G41" s="124" t="str">
        <f>IF($N$11&gt;=3,IF($N$6="BOL",Parameters!C81,Parameters!B81),"-")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53</v>
      </c>
      <c r="N41" s="109">
        <f>IF($N$6="BOL",N38*1000/10,IF($N$6="BBL",N38*850/10,0))*(100%+Parameters!$B$84)</f>
        <v>0</v>
      </c>
      <c r="O41" s="110">
        <f>N41/(100%+Parameters!$B$84)</f>
        <v>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IF(K42&gt;Parameters!$D$84,"Teveel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61" t="str">
        <f>IF($N$11&gt;=4,"Leerjaar "&amp;$N$8+3,"")</f>
        <v/>
      </c>
      <c r="C44" s="113" t="s">
        <v>46</v>
      </c>
      <c r="D44" s="126">
        <v>0</v>
      </c>
      <c r="E44" s="162">
        <f>(D44*Parameters!$B$85)/60</f>
        <v>0</v>
      </c>
      <c r="F44" s="163"/>
      <c r="G44" s="124" t="str">
        <f>IF($N$11&gt;=4,IF($N$6="BOL",Parameters!C78,Parameters!B78),"-")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61"/>
      <c r="C45" s="113" t="s">
        <v>48</v>
      </c>
      <c r="D45" s="126">
        <v>0</v>
      </c>
      <c r="E45" s="162">
        <f>(D45*Parameters!$B$85)/60</f>
        <v>0</v>
      </c>
      <c r="F45" s="163"/>
      <c r="G45" s="124" t="str">
        <f>IF($N$11&gt;=4,IF($N$6="BOL",Parameters!C79,Parameters!B79),"-")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IF(OR($N$6="BOL",$N$6="VRIJ"),0,N44*200/10)*(100%+Parameters!$B$84)</f>
        <v>0</v>
      </c>
      <c r="O45" s="110">
        <f>N45/(100%+Parameters!$B$84)</f>
        <v>0</v>
      </c>
      <c r="P45" s="110">
        <f>IF(H48+I48&gt;=O45,0,1)</f>
        <v>0</v>
      </c>
    </row>
    <row r="46" spans="1:18" x14ac:dyDescent="0.3">
      <c r="B46" s="161"/>
      <c r="C46" s="113" t="s">
        <v>50</v>
      </c>
      <c r="D46" s="126">
        <v>0</v>
      </c>
      <c r="E46" s="162">
        <f>(D46*Parameters!$B$85)/60</f>
        <v>0</v>
      </c>
      <c r="F46" s="163"/>
      <c r="G46" s="124" t="str">
        <f>IF($N$11&gt;=4,IF($N$6="BOL",Parameters!C80,Parameters!B80),"-")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61"/>
      <c r="C47" s="113" t="s">
        <v>52</v>
      </c>
      <c r="D47" s="126">
        <v>0</v>
      </c>
      <c r="E47" s="162">
        <f>(D47*Parameters!$B$85)/60</f>
        <v>0</v>
      </c>
      <c r="F47" s="163"/>
      <c r="G47" s="124" t="str">
        <f>IF($N$11&gt;=4,IF($N$6="BOL",Parameters!C81,Parameters!B81),"-")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IF($N$6="BOL",N44*1000/10,IF($N$6="BBL",N44*850/10,0))*(100%+Parameters!$B$84)</f>
        <v>0</v>
      </c>
      <c r="O47" s="110">
        <f>N47/(100%+Parameters!$B$84)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IF(K48&gt;Parameters!$D$84,"Teveel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1138.3333333333335</v>
      </c>
      <c r="J51" s="105">
        <f>J48+J42+J36+J30</f>
        <v>980</v>
      </c>
      <c r="K51" s="134">
        <f>K48+K42+K36+K30</f>
        <v>2118.3333333333335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rjHC86vnT716dLVlIzQCXdJbcVksd8D6PgoR0MQ+fkonYRDss799qV48dJ7C5aSsK0/DG23d4xXfd+8l7Ps/BA==" saltValue="bQDmx9PusGvP87nQK7FIow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  <ignoredError sqref="D1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Parameters!$A$90:$A$94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Parameters!$A$103:$A$107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Parameters!$A$74:$A$75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9" sqref="E9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69" t="str">
        <f>RIGHT(Programmering!$D$6,LEN(Programmering!$D$6)-8)</f>
        <v>Retailspecialist</v>
      </c>
      <c r="D2" s="169"/>
      <c r="E2" s="169"/>
      <c r="F2" s="170"/>
    </row>
    <row r="3" spans="2:6" ht="17.100000000000001" customHeight="1" x14ac:dyDescent="0.3">
      <c r="B3" s="47" t="s">
        <v>59</v>
      </c>
      <c r="C3" t="str">
        <f>LEFT(Programmering!$D$6,5)</f>
        <v>25809</v>
      </c>
      <c r="D3" s="2"/>
      <c r="E3" s="12" t="s">
        <v>60</v>
      </c>
      <c r="F3" s="31" t="str">
        <f>Programmering!$D$8</f>
        <v>2024/2025</v>
      </c>
    </row>
    <row r="4" spans="2:6" ht="17.100000000000001" customHeight="1" x14ac:dyDescent="0.3">
      <c r="B4" s="47" t="s">
        <v>16</v>
      </c>
      <c r="C4" s="2">
        <f>Programmering!$N$9</f>
        <v>3</v>
      </c>
      <c r="E4" s="12" t="s">
        <v>7</v>
      </c>
      <c r="F4" s="31" t="str">
        <f>Programmering!$D$7</f>
        <v>BOL</v>
      </c>
    </row>
    <row r="5" spans="2:6" ht="17.100000000000001" customHeight="1" x14ac:dyDescent="0.3">
      <c r="B5" s="47" t="s">
        <v>61</v>
      </c>
      <c r="C5" s="37">
        <f>Programmering!$D$10</f>
        <v>45901</v>
      </c>
      <c r="E5" s="12" t="s">
        <v>62</v>
      </c>
      <c r="F5" s="46">
        <f>Programmering!$D$11</f>
        <v>46507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4" t="str">
        <f>Programmering!B26</f>
        <v>Leerjaar 1</v>
      </c>
      <c r="C8" s="28">
        <v>1</v>
      </c>
      <c r="D8" s="29">
        <f>Programmering!H26+Programmering!I26</f>
        <v>229.58333333333334</v>
      </c>
      <c r="E8" s="28">
        <f>Programmering!J26</f>
        <v>0</v>
      </c>
      <c r="F8" s="28">
        <f>Programmering!K26</f>
        <v>229.58333333333334</v>
      </c>
    </row>
    <row r="9" spans="2:6" ht="17.100000000000001" customHeight="1" x14ac:dyDescent="0.3">
      <c r="B9" s="165"/>
      <c r="C9" s="28">
        <v>2</v>
      </c>
      <c r="D9" s="29">
        <f>Programmering!H27+Programmering!I27</f>
        <v>166.25</v>
      </c>
      <c r="E9" s="28">
        <f>Programmering!J27</f>
        <v>140</v>
      </c>
      <c r="F9" s="28">
        <f>Programmering!K27</f>
        <v>306.25</v>
      </c>
    </row>
    <row r="10" spans="2:6" ht="17.100000000000001" customHeight="1" x14ac:dyDescent="0.3">
      <c r="B10" s="165"/>
      <c r="C10" s="28">
        <v>3</v>
      </c>
      <c r="D10" s="29">
        <f>Programmering!H28+Programmering!I28</f>
        <v>166.25</v>
      </c>
      <c r="E10" s="28">
        <f>Programmering!J28</f>
        <v>140</v>
      </c>
      <c r="F10" s="28">
        <f>Programmering!K28</f>
        <v>306.25</v>
      </c>
    </row>
    <row r="11" spans="2:6" ht="17.100000000000001" customHeight="1" x14ac:dyDescent="0.3">
      <c r="B11" s="166"/>
      <c r="C11" s="28">
        <v>4</v>
      </c>
      <c r="D11" s="29">
        <f>Programmering!H29+Programmering!I29</f>
        <v>148.75</v>
      </c>
      <c r="E11" s="28">
        <f>Programmering!J29</f>
        <v>140</v>
      </c>
      <c r="F11" s="28">
        <f>Programmering!K29</f>
        <v>288.75</v>
      </c>
    </row>
    <row r="12" spans="2:6" ht="17.25" customHeight="1" x14ac:dyDescent="0.3">
      <c r="B12" s="167" t="s">
        <v>65</v>
      </c>
      <c r="C12" s="168"/>
      <c r="D12" s="32">
        <f>Programmering!H30+Programmering!I30</f>
        <v>710.83333333333337</v>
      </c>
      <c r="E12" s="33">
        <f>Programmering!J30</f>
        <v>420</v>
      </c>
      <c r="F12" s="33">
        <f>Programmering!K30</f>
        <v>1130.8333333333335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4" t="str">
        <f>Programmering!B32</f>
        <v>Leerjaar 2</v>
      </c>
      <c r="C14" s="28">
        <v>1</v>
      </c>
      <c r="D14" s="29">
        <f>Programmering!H32+Programmering!I32</f>
        <v>150.41666666666669</v>
      </c>
      <c r="E14" s="29">
        <f>Programmering!J32</f>
        <v>140</v>
      </c>
      <c r="F14" s="29">
        <f>Programmering!K32</f>
        <v>290.41666666666669</v>
      </c>
    </row>
    <row r="15" spans="2:6" ht="17.100000000000001" customHeight="1" x14ac:dyDescent="0.3">
      <c r="B15" s="165"/>
      <c r="C15" s="28">
        <v>2</v>
      </c>
      <c r="D15" s="29">
        <f>Programmering!H33+Programmering!I33</f>
        <v>150.41666666666669</v>
      </c>
      <c r="E15" s="29">
        <f>Programmering!J33</f>
        <v>140</v>
      </c>
      <c r="F15" s="29">
        <f>Programmering!K33</f>
        <v>290.41666666666669</v>
      </c>
    </row>
    <row r="16" spans="2:6" ht="17.100000000000001" customHeight="1" x14ac:dyDescent="0.3">
      <c r="B16" s="165"/>
      <c r="C16" s="28">
        <v>3</v>
      </c>
      <c r="D16" s="29">
        <f>Programmering!H34+Programmering!I34</f>
        <v>126.66666666666667</v>
      </c>
      <c r="E16" s="29">
        <f>Programmering!J34</f>
        <v>140</v>
      </c>
      <c r="F16" s="29">
        <f>Programmering!K34</f>
        <v>266.66666666666669</v>
      </c>
    </row>
    <row r="17" spans="2:6" ht="17.100000000000001" customHeight="1" x14ac:dyDescent="0.3">
      <c r="B17" s="166"/>
      <c r="C17" s="28">
        <v>4</v>
      </c>
      <c r="D17" s="29">
        <f>Programmering!H35+Programmering!I35</f>
        <v>0</v>
      </c>
      <c r="E17" s="29">
        <f>Programmering!J35</f>
        <v>140</v>
      </c>
      <c r="F17" s="29">
        <f>Programmering!K35</f>
        <v>140</v>
      </c>
    </row>
    <row r="18" spans="2:6" ht="17.100000000000001" customHeight="1" x14ac:dyDescent="0.3">
      <c r="B18" s="167" t="str">
        <f>IF(Programmering!G36="","","Totaal ")</f>
        <v xml:space="preserve">Totaal </v>
      </c>
      <c r="C18" s="168"/>
      <c r="D18" s="32">
        <f>Programmering!H36+Programmering!I36</f>
        <v>427.50000000000006</v>
      </c>
      <c r="E18" s="32">
        <f>Programmering!J36</f>
        <v>560</v>
      </c>
      <c r="F18" s="32">
        <f>Programmering!K36</f>
        <v>987.5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5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 x14ac:dyDescent="0.3">
      <c r="B21" s="165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 x14ac:dyDescent="0.3">
      <c r="B22" s="165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 x14ac:dyDescent="0.3">
      <c r="B23" s="166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3">
      <c r="B24" s="167" t="str">
        <f>IF(Programmering!G42="","","Totaal ")</f>
        <v/>
      </c>
      <c r="C24" s="168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4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5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5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66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7" t="str">
        <f>IF(Programmering!G48="","","Totaal ")</f>
        <v/>
      </c>
      <c r="C30" s="168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71" t="s">
        <v>66</v>
      </c>
      <c r="C32" s="172"/>
      <c r="D32" s="51">
        <f>Programmering!I51</f>
        <v>1138.3333333333335</v>
      </c>
      <c r="E32" s="52">
        <f>Programmering!J51</f>
        <v>980</v>
      </c>
      <c r="F32" s="52">
        <f>Programmering!K51</f>
        <v>2118.3333333333335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9" sqref="C9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C5*Parameters!$B$85/60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C9*Parameters!$B$85/60*D9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C10*Parameters!$B$85/60*D10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3" t="s">
        <v>72</v>
      </c>
      <c r="D13" s="173"/>
      <c r="E13" s="173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4" t="s">
        <v>73</v>
      </c>
      <c r="B1" s="174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B32" sqref="B32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5" t="s">
        <v>95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 t="s">
        <v>96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5" t="s">
        <v>97</v>
      </c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 t="s">
        <v>98</v>
      </c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5" t="s">
        <v>99</v>
      </c>
      <c r="AV1" s="175"/>
      <c r="AW1" s="175"/>
      <c r="AX1" s="175"/>
      <c r="AY1" s="175"/>
      <c r="AZ1" s="175"/>
      <c r="BA1" s="175"/>
      <c r="BB1" s="175"/>
      <c r="BC1" s="175"/>
      <c r="BD1" s="175"/>
      <c r="BE1" s="175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25809</v>
      </c>
      <c r="C3" t="str">
        <f>RIGHT(Programmering!D6,LEN(Programmering!D6)-8)</f>
        <v>Retailspecialist</v>
      </c>
      <c r="D3">
        <f>Programmering!N9</f>
        <v>3</v>
      </c>
      <c r="E3" t="str">
        <f>Programmering!$D$7</f>
        <v>BOL</v>
      </c>
      <c r="F3">
        <f>Programmering!N8</f>
        <v>1</v>
      </c>
      <c r="G3" t="str">
        <f>Programmering!D8</f>
        <v>2024/2025</v>
      </c>
      <c r="H3" s="18">
        <f>Programmering!D10</f>
        <v>45901</v>
      </c>
      <c r="I3" s="18">
        <f>Programmering!D11</f>
        <v>46507</v>
      </c>
      <c r="J3" s="22">
        <f>Programmering!G18</f>
        <v>2000</v>
      </c>
      <c r="K3" s="22">
        <f>Programmering!G19</f>
        <v>1025</v>
      </c>
      <c r="L3" s="22">
        <f>Programmering!G20</f>
        <v>450</v>
      </c>
      <c r="M3">
        <f>Programmering!N10</f>
        <v>18</v>
      </c>
      <c r="N3" s="22">
        <f>Programmering!H26+Programmering!I26</f>
        <v>229.58333333333334</v>
      </c>
      <c r="O3" s="22">
        <f>Programmering!J26</f>
        <v>0</v>
      </c>
      <c r="P3" s="22">
        <f>Programmering!H27+Programmering!I27</f>
        <v>166.25</v>
      </c>
      <c r="Q3" s="22">
        <f>Programmering!J27</f>
        <v>140</v>
      </c>
      <c r="R3" s="22">
        <f>Programmering!H28+Programmering!I28</f>
        <v>166.25</v>
      </c>
      <c r="S3" s="22">
        <f>Programmering!J28</f>
        <v>140</v>
      </c>
      <c r="T3" s="22">
        <f>Programmering!H29+Programmering!I29</f>
        <v>148.75</v>
      </c>
      <c r="U3" s="22">
        <f>Programmering!J29</f>
        <v>140</v>
      </c>
      <c r="V3" s="22">
        <f>Programmering!H30+Programmering!I30</f>
        <v>710.83333333333337</v>
      </c>
      <c r="W3" s="22">
        <f>Programmering!J30</f>
        <v>420</v>
      </c>
      <c r="X3" s="22">
        <f>Programmering!K30</f>
        <v>1130.8333333333335</v>
      </c>
      <c r="Y3" s="22">
        <f>Programmering!H32+Programmering!I32</f>
        <v>150.41666666666669</v>
      </c>
      <c r="Z3" s="22">
        <f>Programmering!J32</f>
        <v>140</v>
      </c>
      <c r="AA3" s="22">
        <f>Programmering!H33+Programmering!I33</f>
        <v>150.41666666666669</v>
      </c>
      <c r="AB3" s="22">
        <f>Programmering!J33</f>
        <v>140</v>
      </c>
      <c r="AC3" s="22">
        <f>Programmering!H34+Programmering!I34</f>
        <v>126.66666666666667</v>
      </c>
      <c r="AD3" s="22">
        <f>Programmering!J34</f>
        <v>140</v>
      </c>
      <c r="AE3" s="22">
        <f>Programmering!H35+Programmering!I35</f>
        <v>0</v>
      </c>
      <c r="AF3" s="22">
        <f>Programmering!J35</f>
        <v>140</v>
      </c>
      <c r="AG3" s="22">
        <f>Programmering!H36+Programmering!I36</f>
        <v>427.50000000000006</v>
      </c>
      <c r="AH3" s="22">
        <f>Programmering!J36</f>
        <v>560</v>
      </c>
      <c r="AI3" s="22">
        <f>Programmering!K36</f>
        <v>987.5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07"/>
  <sheetViews>
    <sheetView zoomScaleNormal="100" workbookViewId="0">
      <pane xSplit="1" ySplit="3" topLeftCell="B40" activePane="bottomRight" state="frozen"/>
      <selection pane="topRight" activeCell="B32" sqref="B32"/>
      <selection pane="bottomLeft" activeCell="B32" sqref="B32"/>
      <selection pane="bottomRight" activeCell="F69" sqref="F69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7" t="s">
        <v>38</v>
      </c>
      <c r="C2" s="177"/>
      <c r="D2" s="177"/>
      <c r="E2" s="177" t="s">
        <v>55</v>
      </c>
      <c r="F2" s="177"/>
      <c r="G2" s="177"/>
      <c r="H2" s="177" t="s">
        <v>37</v>
      </c>
      <c r="I2" s="177"/>
      <c r="J2" s="177"/>
      <c r="K2" s="177" t="s">
        <v>117</v>
      </c>
      <c r="L2" s="177"/>
      <c r="M2" s="177"/>
      <c r="N2" s="177" t="s">
        <v>118</v>
      </c>
      <c r="O2" s="177"/>
      <c r="P2" s="177"/>
      <c r="Q2" s="177" t="s">
        <v>119</v>
      </c>
      <c r="R2" s="177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 t="shared" si="2"/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332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2" si="8">B28-E28-H28</f>
        <v>400</v>
      </c>
      <c r="L28" s="15">
        <f t="shared" ref="L28:L51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25104</v>
      </c>
      <c r="B30" s="14">
        <v>4000</v>
      </c>
      <c r="C30" s="14">
        <v>850</v>
      </c>
      <c r="D30" s="14">
        <v>0</v>
      </c>
      <c r="E30" s="15">
        <v>2200</v>
      </c>
      <c r="F30" s="15">
        <v>200</v>
      </c>
      <c r="G30" s="15">
        <v>0</v>
      </c>
      <c r="H30" s="14">
        <v>1350</v>
      </c>
      <c r="I30" s="14">
        <v>610</v>
      </c>
      <c r="J30" s="14">
        <v>0</v>
      </c>
      <c r="K30" s="15">
        <f t="shared" si="8"/>
        <v>450</v>
      </c>
      <c r="L30" s="15">
        <f t="shared" si="9"/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40</v>
      </c>
      <c r="R30" s="19">
        <v>4</v>
      </c>
    </row>
    <row r="31" spans="1:18" ht="15" customHeight="1" x14ac:dyDescent="0.3">
      <c r="A31" s="95">
        <v>25105</v>
      </c>
      <c r="B31" s="14">
        <v>3000</v>
      </c>
      <c r="C31" s="14">
        <v>850</v>
      </c>
      <c r="D31" s="14">
        <v>0</v>
      </c>
      <c r="E31" s="15">
        <v>1650</v>
      </c>
      <c r="F31" s="15">
        <v>200</v>
      </c>
      <c r="G31" s="15">
        <v>0</v>
      </c>
      <c r="H31" s="14">
        <v>900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30</v>
      </c>
      <c r="R31" s="19">
        <v>3</v>
      </c>
    </row>
    <row r="32" spans="1:18" ht="15" customHeight="1" x14ac:dyDescent="0.3">
      <c r="A32" s="95">
        <v>25132</v>
      </c>
      <c r="B32" s="14">
        <v>3000</v>
      </c>
      <c r="C32" s="14">
        <v>850</v>
      </c>
      <c r="D32" s="14">
        <v>0</v>
      </c>
      <c r="E32" s="15">
        <v>1700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400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25134</v>
      </c>
      <c r="B33" s="14">
        <v>2000</v>
      </c>
      <c r="C33" s="14">
        <v>850</v>
      </c>
      <c r="D33" s="14">
        <v>0</v>
      </c>
      <c r="E33" s="15">
        <v>1150</v>
      </c>
      <c r="F33" s="15">
        <v>200</v>
      </c>
      <c r="G33" s="15">
        <v>0</v>
      </c>
      <c r="H33" s="14">
        <v>450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20</v>
      </c>
      <c r="R33" s="19">
        <v>2</v>
      </c>
    </row>
    <row r="34" spans="1:18" ht="15" customHeight="1" x14ac:dyDescent="0.3">
      <c r="A34" s="95">
        <v>25138</v>
      </c>
      <c r="B34" s="14">
        <v>3000</v>
      </c>
      <c r="C34" s="14">
        <v>850</v>
      </c>
      <c r="D34" s="14">
        <v>0</v>
      </c>
      <c r="E34" s="15">
        <v>1700</v>
      </c>
      <c r="F34" s="15">
        <v>200</v>
      </c>
      <c r="G34" s="15">
        <v>0</v>
      </c>
      <c r="H34" s="14">
        <v>900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30</v>
      </c>
      <c r="R34" s="19">
        <v>3</v>
      </c>
    </row>
    <row r="35" spans="1:18" ht="15" customHeight="1" x14ac:dyDescent="0.3">
      <c r="A35" s="95">
        <v>25139</v>
      </c>
      <c r="B35" s="14">
        <v>2000</v>
      </c>
      <c r="C35" s="14">
        <v>850</v>
      </c>
      <c r="D35" s="14">
        <v>0</v>
      </c>
      <c r="E35" s="15">
        <v>1150</v>
      </c>
      <c r="F35" s="15">
        <v>200</v>
      </c>
      <c r="G35" s="15">
        <v>0</v>
      </c>
      <c r="H35" s="14">
        <v>450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20</v>
      </c>
      <c r="R35" s="19">
        <v>2</v>
      </c>
    </row>
    <row r="36" spans="1:18" ht="15" customHeight="1" x14ac:dyDescent="0.3">
      <c r="A36" s="95">
        <v>25140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25151</v>
      </c>
      <c r="B37" s="14">
        <v>3000</v>
      </c>
      <c r="C37" s="14">
        <v>850</v>
      </c>
      <c r="D37" s="14">
        <v>0</v>
      </c>
      <c r="E37" s="15">
        <v>1700</v>
      </c>
      <c r="F37" s="15">
        <v>200</v>
      </c>
      <c r="G37" s="15">
        <v>0</v>
      </c>
      <c r="H37" s="14">
        <v>900</v>
      </c>
      <c r="I37" s="14">
        <v>610</v>
      </c>
      <c r="J37" s="14">
        <v>0</v>
      </c>
      <c r="K37" s="15">
        <f t="shared" si="8"/>
        <v>400</v>
      </c>
      <c r="L37" s="15">
        <f t="shared" si="9"/>
        <v>40</v>
      </c>
      <c r="M37" s="15">
        <v>0</v>
      </c>
      <c r="N37" s="19">
        <v>650</v>
      </c>
      <c r="O37" s="19">
        <v>0</v>
      </c>
      <c r="P37" s="19">
        <v>0</v>
      </c>
      <c r="Q37" s="15">
        <v>30</v>
      </c>
      <c r="R37" s="19">
        <v>3</v>
      </c>
    </row>
    <row r="38" spans="1:18" ht="15" customHeight="1" x14ac:dyDescent="0.3">
      <c r="A38" s="95">
        <v>25155</v>
      </c>
      <c r="B38" s="14">
        <v>2000</v>
      </c>
      <c r="C38" s="14">
        <v>850</v>
      </c>
      <c r="D38" s="14">
        <v>0</v>
      </c>
      <c r="E38" s="15">
        <v>1025</v>
      </c>
      <c r="F38" s="15">
        <v>200</v>
      </c>
      <c r="G38" s="15">
        <v>0</v>
      </c>
      <c r="H38" s="14">
        <v>450</v>
      </c>
      <c r="I38" s="14">
        <v>610</v>
      </c>
      <c r="J38" s="14">
        <v>0</v>
      </c>
      <c r="K38" s="15">
        <f t="shared" si="8"/>
        <v>525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20</v>
      </c>
      <c r="R38" s="19">
        <v>2</v>
      </c>
    </row>
    <row r="39" spans="1:18" ht="15" customHeight="1" x14ac:dyDescent="0.3">
      <c r="A39" s="95">
        <v>25166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1</v>
      </c>
    </row>
    <row r="40" spans="1:18" ht="15" customHeight="1" x14ac:dyDescent="0.3">
      <c r="A40" s="95">
        <v>25167</v>
      </c>
      <c r="B40" s="14">
        <v>1000</v>
      </c>
      <c r="C40" s="14">
        <v>850</v>
      </c>
      <c r="D40" s="14">
        <v>0</v>
      </c>
      <c r="E40" s="15">
        <v>615</v>
      </c>
      <c r="F40" s="15">
        <v>200</v>
      </c>
      <c r="G40" s="15">
        <v>0</v>
      </c>
      <c r="H40" s="14">
        <v>250</v>
      </c>
      <c r="I40" s="14">
        <v>610</v>
      </c>
      <c r="J40" s="14">
        <v>0</v>
      </c>
      <c r="K40" s="15">
        <f t="shared" si="8"/>
        <v>135</v>
      </c>
      <c r="L40" s="15">
        <f t="shared" si="9"/>
        <v>40</v>
      </c>
      <c r="M40" s="15">
        <v>0</v>
      </c>
      <c r="N40" s="19">
        <v>615</v>
      </c>
      <c r="O40" s="19">
        <v>0</v>
      </c>
      <c r="P40" s="19">
        <v>0</v>
      </c>
      <c r="Q40" s="15">
        <v>10</v>
      </c>
      <c r="R40" s="19">
        <v>2</v>
      </c>
    </row>
    <row r="41" spans="1:18" ht="15" customHeight="1" x14ac:dyDescent="0.3">
      <c r="A41" s="95">
        <v>25297</v>
      </c>
      <c r="B41" s="14">
        <v>4000</v>
      </c>
      <c r="C41" s="14">
        <v>850</v>
      </c>
      <c r="D41" s="14">
        <v>0</v>
      </c>
      <c r="E41" s="15">
        <v>2200</v>
      </c>
      <c r="F41" s="15">
        <v>200</v>
      </c>
      <c r="G41" s="15">
        <v>0</v>
      </c>
      <c r="H41" s="14">
        <v>1350</v>
      </c>
      <c r="I41" s="14">
        <v>610</v>
      </c>
      <c r="J41" s="14">
        <v>0</v>
      </c>
      <c r="K41" s="15">
        <f t="shared" si="8"/>
        <v>450</v>
      </c>
      <c r="L41" s="15">
        <f t="shared" si="9"/>
        <v>40</v>
      </c>
      <c r="M41" s="15">
        <v>0</v>
      </c>
      <c r="N41" s="19">
        <v>650</v>
      </c>
      <c r="O41" s="19">
        <v>0</v>
      </c>
      <c r="P41" s="19">
        <v>0</v>
      </c>
      <c r="Q41" s="15">
        <v>40</v>
      </c>
      <c r="R41" s="19">
        <v>4</v>
      </c>
    </row>
    <row r="42" spans="1:18" ht="15" customHeight="1" x14ac:dyDescent="0.3">
      <c r="A42" s="95">
        <v>25498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3">
      <c r="A43" s="95">
        <v>25499</v>
      </c>
      <c r="B43" s="14">
        <v>1000</v>
      </c>
      <c r="C43" s="14">
        <v>850</v>
      </c>
      <c r="D43" s="14">
        <v>0</v>
      </c>
      <c r="E43" s="15">
        <v>600</v>
      </c>
      <c r="F43" s="15">
        <v>200</v>
      </c>
      <c r="G43" s="15">
        <v>0</v>
      </c>
      <c r="H43" s="14">
        <v>400</v>
      </c>
      <c r="I43" s="14">
        <v>610</v>
      </c>
      <c r="J43" s="14">
        <v>0</v>
      </c>
      <c r="K43" s="15">
        <f t="shared" si="8"/>
        <v>0</v>
      </c>
      <c r="L43" s="15">
        <f t="shared" si="9"/>
        <v>40</v>
      </c>
      <c r="M43" s="15">
        <v>0</v>
      </c>
      <c r="N43" s="19">
        <v>600</v>
      </c>
      <c r="O43" s="19">
        <v>0</v>
      </c>
      <c r="P43" s="19">
        <v>0</v>
      </c>
      <c r="Q43" s="15">
        <v>10</v>
      </c>
      <c r="R43" s="19">
        <v>1</v>
      </c>
    </row>
    <row r="44" spans="1:18" ht="15" customHeight="1" x14ac:dyDescent="0.3">
      <c r="A44" s="95">
        <v>25573</v>
      </c>
      <c r="B44" s="14">
        <v>2000</v>
      </c>
      <c r="C44" s="14">
        <v>850</v>
      </c>
      <c r="D44" s="14">
        <v>0</v>
      </c>
      <c r="E44" s="15">
        <v>1150</v>
      </c>
      <c r="F44" s="15">
        <v>200</v>
      </c>
      <c r="G44" s="15">
        <v>0</v>
      </c>
      <c r="H44" s="14">
        <v>450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20</v>
      </c>
      <c r="R44" s="19">
        <v>2</v>
      </c>
    </row>
    <row r="45" spans="1:18" ht="15" customHeight="1" x14ac:dyDescent="0.3">
      <c r="A45" s="95">
        <v>25574</v>
      </c>
      <c r="B45" s="14">
        <v>3000</v>
      </c>
      <c r="C45" s="14">
        <v>850</v>
      </c>
      <c r="D45" s="14">
        <v>0</v>
      </c>
      <c r="E45" s="15">
        <v>1700</v>
      </c>
      <c r="F45" s="15">
        <v>200</v>
      </c>
      <c r="G45" s="15">
        <v>0</v>
      </c>
      <c r="H45" s="14">
        <v>900</v>
      </c>
      <c r="I45" s="14">
        <v>610</v>
      </c>
      <c r="J45" s="14">
        <v>0</v>
      </c>
      <c r="K45" s="15">
        <f t="shared" si="8"/>
        <v>400</v>
      </c>
      <c r="L45" s="15">
        <f t="shared" si="9"/>
        <v>40</v>
      </c>
      <c r="M45" s="15">
        <v>0</v>
      </c>
      <c r="N45" s="19">
        <v>650</v>
      </c>
      <c r="O45" s="19">
        <v>0</v>
      </c>
      <c r="P45" s="19">
        <v>0</v>
      </c>
      <c r="Q45" s="15">
        <v>30</v>
      </c>
      <c r="R45" s="19">
        <v>3</v>
      </c>
    </row>
    <row r="46" spans="1:18" ht="15" customHeight="1" x14ac:dyDescent="0.3">
      <c r="A46" s="95">
        <v>25604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25605</v>
      </c>
      <c r="B47" s="14">
        <v>3000</v>
      </c>
      <c r="C47" s="14">
        <v>850</v>
      </c>
      <c r="D47" s="14">
        <v>0</v>
      </c>
      <c r="E47" s="15">
        <v>1700</v>
      </c>
      <c r="F47" s="15">
        <v>580</v>
      </c>
      <c r="G47" s="15">
        <v>0</v>
      </c>
      <c r="H47" s="14">
        <v>870</v>
      </c>
      <c r="I47" s="14">
        <v>610</v>
      </c>
      <c r="J47" s="14">
        <v>0</v>
      </c>
      <c r="K47" s="15">
        <f t="shared" si="8"/>
        <v>430</v>
      </c>
      <c r="L47" s="15">
        <v>116</v>
      </c>
      <c r="M47" s="15">
        <v>0</v>
      </c>
      <c r="N47" s="19">
        <v>900</v>
      </c>
      <c r="O47" s="19">
        <v>0</v>
      </c>
      <c r="P47" s="19">
        <v>0</v>
      </c>
      <c r="Q47" s="15">
        <v>29</v>
      </c>
      <c r="R47" s="19">
        <v>3</v>
      </c>
    </row>
    <row r="48" spans="1:18" ht="15" customHeight="1" x14ac:dyDescent="0.3">
      <c r="A48" s="95">
        <v>25606</v>
      </c>
      <c r="B48" s="14">
        <v>3000</v>
      </c>
      <c r="C48" s="14">
        <v>850</v>
      </c>
      <c r="D48" s="14">
        <v>0</v>
      </c>
      <c r="E48" s="15">
        <v>1700</v>
      </c>
      <c r="F48" s="15">
        <v>200</v>
      </c>
      <c r="G48" s="15">
        <v>0</v>
      </c>
      <c r="H48" s="14">
        <v>900</v>
      </c>
      <c r="I48" s="14">
        <v>610</v>
      </c>
      <c r="J48" s="14">
        <v>0</v>
      </c>
      <c r="K48" s="15">
        <f t="shared" si="8"/>
        <v>400</v>
      </c>
      <c r="L48" s="15">
        <f t="shared" si="9"/>
        <v>40</v>
      </c>
      <c r="M48" s="15">
        <v>0</v>
      </c>
      <c r="N48" s="19">
        <v>900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3">
      <c r="A49" s="95">
        <v>25607</v>
      </c>
      <c r="B49" s="14">
        <v>1500</v>
      </c>
      <c r="C49" s="14">
        <v>850</v>
      </c>
      <c r="D49" s="14">
        <v>0</v>
      </c>
      <c r="E49" s="15">
        <v>850</v>
      </c>
      <c r="F49" s="15">
        <v>200</v>
      </c>
      <c r="G49" s="15">
        <v>0</v>
      </c>
      <c r="H49" s="14">
        <v>450</v>
      </c>
      <c r="I49" s="14">
        <v>610</v>
      </c>
      <c r="J49" s="14">
        <v>0</v>
      </c>
      <c r="K49" s="15">
        <f t="shared" si="8"/>
        <v>200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15</v>
      </c>
      <c r="R49" s="19">
        <v>2</v>
      </c>
    </row>
    <row r="50" spans="1:19" ht="15" customHeight="1" x14ac:dyDescent="0.3">
      <c r="A50" s="95">
        <v>25608</v>
      </c>
      <c r="B50" s="14">
        <v>3000</v>
      </c>
      <c r="C50" s="14">
        <v>850</v>
      </c>
      <c r="D50" s="14">
        <v>0</v>
      </c>
      <c r="E50" s="15">
        <v>1750</v>
      </c>
      <c r="F50" s="15">
        <v>200</v>
      </c>
      <c r="G50" s="15">
        <v>0</v>
      </c>
      <c r="H50" s="14">
        <v>450</v>
      </c>
      <c r="I50" s="14">
        <v>610</v>
      </c>
      <c r="J50" s="14">
        <v>0</v>
      </c>
      <c r="K50" s="15">
        <f t="shared" si="8"/>
        <v>800</v>
      </c>
      <c r="L50" s="15">
        <f t="shared" si="9"/>
        <v>40</v>
      </c>
      <c r="M50" s="15">
        <v>0</v>
      </c>
      <c r="N50" s="19">
        <v>700</v>
      </c>
      <c r="O50" s="19">
        <v>0</v>
      </c>
      <c r="P50" s="19">
        <v>0</v>
      </c>
      <c r="Q50" s="15">
        <v>30</v>
      </c>
      <c r="R50" s="19">
        <v>3</v>
      </c>
    </row>
    <row r="51" spans="1:19" ht="15" customHeight="1" x14ac:dyDescent="0.3">
      <c r="A51" s="95">
        <v>25655</v>
      </c>
      <c r="B51" s="14">
        <v>4000</v>
      </c>
      <c r="C51" s="14">
        <v>850</v>
      </c>
      <c r="D51" s="14">
        <v>0</v>
      </c>
      <c r="E51" s="15">
        <v>0</v>
      </c>
      <c r="F51" s="15">
        <v>200</v>
      </c>
      <c r="G51" s="15">
        <v>0</v>
      </c>
      <c r="H51" s="14">
        <v>0</v>
      </c>
      <c r="I51" s="14">
        <v>610</v>
      </c>
      <c r="J51" s="14">
        <v>0</v>
      </c>
      <c r="K51" s="15">
        <f t="shared" si="8"/>
        <v>4000</v>
      </c>
      <c r="L51" s="15">
        <f t="shared" si="9"/>
        <v>40</v>
      </c>
      <c r="M51" s="15">
        <v>0</v>
      </c>
      <c r="N51" s="19">
        <v>700</v>
      </c>
      <c r="O51" s="19">
        <v>0</v>
      </c>
      <c r="P51" s="19">
        <v>0</v>
      </c>
      <c r="Q51" s="15">
        <v>40</v>
      </c>
      <c r="R51" s="19">
        <v>4</v>
      </c>
    </row>
    <row r="52" spans="1:19" ht="15" customHeight="1" x14ac:dyDescent="0.3">
      <c r="A52" s="95">
        <v>25656</v>
      </c>
      <c r="B52" s="14">
        <v>2800</v>
      </c>
      <c r="C52" s="14">
        <v>850</v>
      </c>
      <c r="D52" s="14">
        <v>0</v>
      </c>
      <c r="E52" s="15">
        <v>1500</v>
      </c>
      <c r="F52" s="15">
        <v>600</v>
      </c>
      <c r="G52" s="15">
        <v>0</v>
      </c>
      <c r="H52" s="14">
        <v>1300</v>
      </c>
      <c r="I52" s="14">
        <v>610</v>
      </c>
      <c r="J52" s="14">
        <v>0</v>
      </c>
      <c r="K52" s="15">
        <f t="shared" si="8"/>
        <v>0</v>
      </c>
      <c r="L52" s="15">
        <v>200</v>
      </c>
      <c r="M52" s="15">
        <v>0</v>
      </c>
      <c r="N52" s="19">
        <v>700</v>
      </c>
      <c r="O52" s="19">
        <v>0</v>
      </c>
      <c r="P52" s="19">
        <v>0</v>
      </c>
      <c r="Q52" s="15">
        <v>28</v>
      </c>
      <c r="R52" s="19">
        <v>2.8</v>
      </c>
      <c r="S52" s="1">
        <v>150</v>
      </c>
    </row>
    <row r="53" spans="1:19" ht="15" customHeight="1" x14ac:dyDescent="0.3">
      <c r="A53" s="95">
        <v>25690</v>
      </c>
      <c r="B53" s="14">
        <v>1000</v>
      </c>
      <c r="C53" s="14">
        <v>850</v>
      </c>
      <c r="D53" s="14">
        <v>0</v>
      </c>
      <c r="E53" s="15">
        <v>600</v>
      </c>
      <c r="F53" s="15">
        <v>200</v>
      </c>
      <c r="G53" s="15">
        <v>0</v>
      </c>
      <c r="H53" s="14">
        <v>400</v>
      </c>
      <c r="I53" s="14">
        <v>610</v>
      </c>
      <c r="J53" s="14">
        <v>0</v>
      </c>
      <c r="K53" s="15">
        <f t="shared" ref="K53:K71" si="10">B53-E53-H53</f>
        <v>0</v>
      </c>
      <c r="L53" s="15">
        <f t="shared" ref="L53:L63" si="11">C53-F53-I53</f>
        <v>40</v>
      </c>
      <c r="M53" s="15">
        <v>0</v>
      </c>
      <c r="N53" s="19">
        <v>600</v>
      </c>
      <c r="O53" s="19">
        <v>0</v>
      </c>
      <c r="P53" s="19">
        <v>0</v>
      </c>
      <c r="Q53" s="15">
        <v>10</v>
      </c>
      <c r="R53" s="19">
        <v>1</v>
      </c>
    </row>
    <row r="54" spans="1:19" ht="15" customHeight="1" x14ac:dyDescent="0.3">
      <c r="A54" s="95">
        <v>25691</v>
      </c>
      <c r="B54" s="14">
        <v>2000</v>
      </c>
      <c r="C54" s="14">
        <v>850</v>
      </c>
      <c r="D54" s="14">
        <v>0</v>
      </c>
      <c r="E54" s="15">
        <v>1150</v>
      </c>
      <c r="F54" s="15">
        <v>200</v>
      </c>
      <c r="G54" s="15">
        <v>0</v>
      </c>
      <c r="H54" s="14">
        <v>550</v>
      </c>
      <c r="I54" s="14">
        <v>610</v>
      </c>
      <c r="J54" s="14">
        <v>0</v>
      </c>
      <c r="K54" s="15">
        <f t="shared" si="10"/>
        <v>300</v>
      </c>
      <c r="L54" s="15">
        <f t="shared" si="11"/>
        <v>40</v>
      </c>
      <c r="M54" s="15">
        <v>0</v>
      </c>
      <c r="N54" s="19">
        <v>600</v>
      </c>
      <c r="O54" s="19">
        <v>0</v>
      </c>
      <c r="P54" s="19">
        <v>0</v>
      </c>
      <c r="Q54" s="15">
        <v>20</v>
      </c>
      <c r="R54" s="19">
        <v>2</v>
      </c>
    </row>
    <row r="55" spans="1:19" ht="15" customHeight="1" x14ac:dyDescent="0.3">
      <c r="A55" s="95">
        <v>25723</v>
      </c>
      <c r="B55" s="14">
        <v>2000</v>
      </c>
      <c r="C55" s="14">
        <v>850</v>
      </c>
      <c r="D55" s="14">
        <v>0</v>
      </c>
      <c r="E55" s="15">
        <v>1150</v>
      </c>
      <c r="F55" s="15">
        <v>200</v>
      </c>
      <c r="G55" s="15">
        <v>0</v>
      </c>
      <c r="H55" s="14">
        <v>450</v>
      </c>
      <c r="I55" s="14">
        <v>610</v>
      </c>
      <c r="J55" s="14">
        <v>0</v>
      </c>
      <c r="K55" s="15">
        <f t="shared" si="10"/>
        <v>400</v>
      </c>
      <c r="L55" s="15">
        <f t="shared" si="11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20</v>
      </c>
      <c r="R55" s="19">
        <v>2</v>
      </c>
    </row>
    <row r="56" spans="1:19" ht="15" customHeight="1" x14ac:dyDescent="0.3">
      <c r="A56" s="95">
        <v>25725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0"/>
        <v>400</v>
      </c>
      <c r="L56" s="15">
        <f t="shared" si="11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25726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0"/>
        <v>400</v>
      </c>
      <c r="L57" s="15">
        <f t="shared" si="11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25727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0"/>
        <v>400</v>
      </c>
      <c r="L58" s="15">
        <f t="shared" si="11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25728</v>
      </c>
      <c r="B59" s="14">
        <v>3000</v>
      </c>
      <c r="C59" s="14">
        <v>850</v>
      </c>
      <c r="D59" s="14">
        <v>0</v>
      </c>
      <c r="E59" s="15">
        <v>1700</v>
      </c>
      <c r="F59" s="15">
        <v>200</v>
      </c>
      <c r="G59" s="15">
        <v>0</v>
      </c>
      <c r="H59" s="14">
        <v>900</v>
      </c>
      <c r="I59" s="14">
        <v>610</v>
      </c>
      <c r="J59" s="14">
        <v>0</v>
      </c>
      <c r="K59" s="15">
        <f t="shared" si="10"/>
        <v>400</v>
      </c>
      <c r="L59" s="15">
        <f t="shared" si="11"/>
        <v>40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3">
      <c r="A60" s="95">
        <v>25779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ref="K60:K61" si="12">B60-E60-H60</f>
        <v>400</v>
      </c>
      <c r="L60" s="15">
        <f t="shared" ref="L60:L61" si="13">C60-F60-I60</f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3">
      <c r="A61" s="95">
        <v>25780</v>
      </c>
      <c r="B61" s="14">
        <v>3000</v>
      </c>
      <c r="C61" s="14">
        <v>2600</v>
      </c>
      <c r="D61" s="14">
        <v>0</v>
      </c>
      <c r="E61" s="15">
        <v>1700</v>
      </c>
      <c r="F61" s="15">
        <v>300</v>
      </c>
      <c r="G61" s="15">
        <v>0</v>
      </c>
      <c r="H61" s="14">
        <v>900</v>
      </c>
      <c r="I61" s="14">
        <v>2300</v>
      </c>
      <c r="J61" s="14">
        <v>0</v>
      </c>
      <c r="K61" s="15">
        <f t="shared" si="12"/>
        <v>400</v>
      </c>
      <c r="L61" s="15">
        <f t="shared" si="13"/>
        <v>0</v>
      </c>
      <c r="M61" s="15">
        <v>0</v>
      </c>
      <c r="N61" s="19">
        <v>650</v>
      </c>
      <c r="O61" s="19">
        <v>0</v>
      </c>
      <c r="P61" s="19">
        <v>0</v>
      </c>
      <c r="Q61" s="15">
        <v>30</v>
      </c>
      <c r="R61" s="19">
        <v>3</v>
      </c>
    </row>
    <row r="62" spans="1:19" ht="15" customHeight="1" x14ac:dyDescent="0.3">
      <c r="A62" s="95">
        <v>25807</v>
      </c>
      <c r="B62" s="14">
        <v>1000</v>
      </c>
      <c r="C62" s="14">
        <v>850</v>
      </c>
      <c r="D62" s="14">
        <v>0</v>
      </c>
      <c r="E62" s="15">
        <v>615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0"/>
        <v>135</v>
      </c>
      <c r="L62" s="15">
        <f t="shared" si="11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3">
      <c r="A63" s="95">
        <v>25808</v>
      </c>
      <c r="B63" s="14">
        <v>1000</v>
      </c>
      <c r="C63" s="14">
        <v>850</v>
      </c>
      <c r="D63" s="14">
        <v>0</v>
      </c>
      <c r="E63" s="15">
        <v>615</v>
      </c>
      <c r="F63" s="15">
        <v>200</v>
      </c>
      <c r="G63" s="15">
        <v>0</v>
      </c>
      <c r="H63" s="14">
        <v>250</v>
      </c>
      <c r="I63" s="14">
        <v>610</v>
      </c>
      <c r="J63" s="14">
        <v>0</v>
      </c>
      <c r="K63" s="15">
        <f t="shared" si="10"/>
        <v>135</v>
      </c>
      <c r="L63" s="15">
        <f t="shared" si="11"/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10</v>
      </c>
      <c r="R63" s="19">
        <v>1</v>
      </c>
    </row>
    <row r="64" spans="1:19" ht="15" customHeight="1" x14ac:dyDescent="0.3">
      <c r="A64" s="95">
        <v>25809</v>
      </c>
      <c r="B64" s="14">
        <v>2000</v>
      </c>
      <c r="C64" s="14">
        <v>850</v>
      </c>
      <c r="D64" s="14">
        <v>0</v>
      </c>
      <c r="E64" s="15">
        <v>1025</v>
      </c>
      <c r="F64" s="15">
        <v>200</v>
      </c>
      <c r="G64" s="15">
        <v>0</v>
      </c>
      <c r="H64" s="14">
        <v>450</v>
      </c>
      <c r="I64" s="14">
        <v>610</v>
      </c>
      <c r="J64" s="14">
        <v>0</v>
      </c>
      <c r="K64" s="15">
        <f t="shared" si="10"/>
        <v>525</v>
      </c>
      <c r="L64" s="15">
        <v>40</v>
      </c>
      <c r="M64" s="15">
        <v>0</v>
      </c>
      <c r="N64" s="19">
        <v>615</v>
      </c>
      <c r="O64" s="19">
        <v>0</v>
      </c>
      <c r="P64" s="19">
        <v>0</v>
      </c>
      <c r="Q64" s="15">
        <v>20</v>
      </c>
      <c r="R64" s="19">
        <v>2</v>
      </c>
    </row>
    <row r="65" spans="1:19" ht="15" customHeight="1" x14ac:dyDescent="0.3">
      <c r="A65" s="95">
        <v>25870</v>
      </c>
      <c r="B65" s="14">
        <f t="shared" ref="B65:B66" si="14">R65*$B$9*(Q65/(R65*10))</f>
        <v>4000</v>
      </c>
      <c r="C65" s="14">
        <f t="shared" ref="C65:C66" si="15">R65*$C$9*(Q65/(R65*10))</f>
        <v>3400</v>
      </c>
      <c r="D65" s="14">
        <v>0</v>
      </c>
      <c r="E65" s="15">
        <v>2200</v>
      </c>
      <c r="F65" s="15">
        <f t="shared" ref="F65:F66" si="16">R65*$F$9*(Q65/(R65*10))</f>
        <v>800</v>
      </c>
      <c r="G65" s="15">
        <v>0</v>
      </c>
      <c r="H65" s="14">
        <f t="shared" ref="H65" si="17">(R65-1)*$H$10*(Q65/(R65*10))</f>
        <v>1350</v>
      </c>
      <c r="I65" s="14">
        <f t="shared" ref="I65:I66" si="18">R65*$I$9*(Q65/(R65*10))</f>
        <v>2440</v>
      </c>
      <c r="J65" s="14">
        <v>0</v>
      </c>
      <c r="K65" s="15">
        <f t="shared" si="10"/>
        <v>450</v>
      </c>
      <c r="L65" s="15">
        <f t="shared" ref="L65:L66" si="19">C65-F65-I65</f>
        <v>160</v>
      </c>
      <c r="M65" s="15">
        <v>0</v>
      </c>
      <c r="N65" s="19">
        <v>650</v>
      </c>
      <c r="O65" s="19">
        <v>0</v>
      </c>
      <c r="P65" s="19">
        <v>0</v>
      </c>
      <c r="Q65" s="15">
        <v>40</v>
      </c>
      <c r="R65" s="19">
        <v>4</v>
      </c>
    </row>
    <row r="66" spans="1:19" ht="15" customHeight="1" x14ac:dyDescent="0.3">
      <c r="A66" s="95">
        <v>25871</v>
      </c>
      <c r="B66" s="14">
        <f t="shared" si="14"/>
        <v>3000</v>
      </c>
      <c r="C66" s="14">
        <f t="shared" si="15"/>
        <v>2550</v>
      </c>
      <c r="D66" s="14">
        <v>0</v>
      </c>
      <c r="E66" s="15">
        <v>1650</v>
      </c>
      <c r="F66" s="15">
        <f t="shared" si="16"/>
        <v>600</v>
      </c>
      <c r="G66" s="15">
        <v>0</v>
      </c>
      <c r="H66" s="14">
        <f>(R66-1)*$H$10*(Q66/(R66*10))</f>
        <v>900</v>
      </c>
      <c r="I66" s="14">
        <f t="shared" si="18"/>
        <v>1830</v>
      </c>
      <c r="J66" s="14">
        <v>0</v>
      </c>
      <c r="K66" s="15">
        <f t="shared" si="10"/>
        <v>450</v>
      </c>
      <c r="L66" s="15">
        <f t="shared" si="19"/>
        <v>120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2">
        <v>25919</v>
      </c>
      <c r="B67" s="14">
        <f t="shared" ref="B67:B68" si="20">R67*$B$9*(Q67/(R67*10))</f>
        <v>3000</v>
      </c>
      <c r="C67" s="14">
        <f t="shared" ref="C67:C68" si="21">R67*$C$9*(Q67/(R67*10))</f>
        <v>2550</v>
      </c>
      <c r="D67" s="14">
        <v>0</v>
      </c>
      <c r="E67" s="15">
        <v>1675</v>
      </c>
      <c r="F67" s="15">
        <f t="shared" ref="F67:F68" si="22">R67*$F$9*(Q67/(R67*10))</f>
        <v>600</v>
      </c>
      <c r="G67" s="15">
        <v>0</v>
      </c>
      <c r="H67" s="14">
        <f>(R67-1)*$H$10*(Q67/(R67*10))</f>
        <v>900</v>
      </c>
      <c r="I67" s="14">
        <f t="shared" ref="I67:I68" si="23">R67*$I$9*(Q67/(R67*10))</f>
        <v>1830</v>
      </c>
      <c r="J67" s="14">
        <v>0</v>
      </c>
      <c r="K67" s="15">
        <f t="shared" si="10"/>
        <v>425</v>
      </c>
      <c r="L67" s="15">
        <f t="shared" ref="L67:L71" si="24">C67-F67-I67</f>
        <v>120</v>
      </c>
      <c r="M67" s="15">
        <v>0</v>
      </c>
      <c r="N67" s="19">
        <v>700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2">
        <v>25919</v>
      </c>
      <c r="B68" s="14">
        <f t="shared" si="20"/>
        <v>4000</v>
      </c>
      <c r="C68" s="14">
        <f t="shared" si="21"/>
        <v>3400</v>
      </c>
      <c r="D68" s="14">
        <v>0</v>
      </c>
      <c r="E68" s="15">
        <v>2200</v>
      </c>
      <c r="F68" s="15">
        <f t="shared" si="22"/>
        <v>800</v>
      </c>
      <c r="G68" s="15">
        <v>0</v>
      </c>
      <c r="H68" s="14">
        <f t="shared" ref="H68" si="25">(R68-1)*$H$10*(Q68/(R68*10))</f>
        <v>1350</v>
      </c>
      <c r="I68" s="14">
        <f t="shared" si="23"/>
        <v>2440</v>
      </c>
      <c r="J68" s="14">
        <v>0</v>
      </c>
      <c r="K68" s="15">
        <f t="shared" si="10"/>
        <v>450</v>
      </c>
      <c r="L68" s="15">
        <f t="shared" si="24"/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3">
      <c r="A69" s="2">
        <v>25959</v>
      </c>
      <c r="B69" s="14">
        <v>1000</v>
      </c>
      <c r="C69" s="14">
        <v>850</v>
      </c>
      <c r="D69" s="14">
        <v>0</v>
      </c>
      <c r="E69" s="15">
        <v>600</v>
      </c>
      <c r="F69" s="15">
        <v>200</v>
      </c>
      <c r="G69" s="15">
        <v>0</v>
      </c>
      <c r="H69" s="14">
        <v>400</v>
      </c>
      <c r="I69" s="14">
        <v>610</v>
      </c>
      <c r="J69" s="14">
        <v>0</v>
      </c>
      <c r="K69" s="15">
        <f t="shared" ref="K69" si="26">B69-E69-H69</f>
        <v>0</v>
      </c>
      <c r="L69" s="15">
        <f t="shared" si="24"/>
        <v>40</v>
      </c>
      <c r="M69" s="15">
        <v>0</v>
      </c>
      <c r="N69" s="19">
        <v>600</v>
      </c>
      <c r="O69" s="19">
        <v>0</v>
      </c>
      <c r="P69" s="19">
        <v>0</v>
      </c>
      <c r="Q69" s="15">
        <v>10</v>
      </c>
      <c r="R69" s="19">
        <v>1</v>
      </c>
    </row>
    <row r="70" spans="1:19" ht="15" customHeight="1" x14ac:dyDescent="0.3">
      <c r="A70" s="2">
        <v>25960</v>
      </c>
      <c r="B70" s="14">
        <v>1700</v>
      </c>
      <c r="C70" s="14">
        <v>1445</v>
      </c>
      <c r="D70" s="14">
        <v>0</v>
      </c>
      <c r="E70" s="15">
        <v>1150</v>
      </c>
      <c r="F70" s="15">
        <v>340</v>
      </c>
      <c r="G70" s="15">
        <v>0</v>
      </c>
      <c r="H70" s="14">
        <v>550</v>
      </c>
      <c r="I70" s="14">
        <v>1037</v>
      </c>
      <c r="J70" s="14">
        <v>0</v>
      </c>
      <c r="K70" s="15">
        <f t="shared" si="10"/>
        <v>0</v>
      </c>
      <c r="L70" s="15">
        <v>68</v>
      </c>
      <c r="M70" s="15">
        <v>0</v>
      </c>
      <c r="N70" s="19">
        <v>600</v>
      </c>
      <c r="O70" s="19">
        <v>0</v>
      </c>
      <c r="P70" s="19">
        <v>0</v>
      </c>
      <c r="Q70" s="15">
        <v>17</v>
      </c>
      <c r="R70" s="19">
        <v>2</v>
      </c>
    </row>
    <row r="71" spans="1:19" ht="15" customHeight="1" x14ac:dyDescent="0.3">
      <c r="A71" s="2">
        <v>25999</v>
      </c>
      <c r="B71" s="14">
        <v>1500</v>
      </c>
      <c r="C71" s="14">
        <v>850</v>
      </c>
      <c r="D71" s="14">
        <v>0</v>
      </c>
      <c r="E71" s="15">
        <v>924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0"/>
        <v>26</v>
      </c>
      <c r="L71" s="15">
        <f t="shared" si="24"/>
        <v>40</v>
      </c>
      <c r="M71" s="15">
        <v>0</v>
      </c>
      <c r="N71" s="19">
        <v>900</v>
      </c>
      <c r="O71" s="19">
        <v>0</v>
      </c>
      <c r="P71" s="19">
        <v>0</v>
      </c>
      <c r="Q71" s="15">
        <v>15</v>
      </c>
      <c r="R71" s="19">
        <v>1.5</v>
      </c>
    </row>
    <row r="73" spans="1:19" s="5" customFormat="1" ht="15" customHeight="1" x14ac:dyDescent="0.3">
      <c r="A73" s="3" t="s">
        <v>148</v>
      </c>
      <c r="B73" s="5" t="s">
        <v>8</v>
      </c>
      <c r="C73" s="4" t="s">
        <v>149</v>
      </c>
      <c r="D73" s="4"/>
      <c r="E73" s="24"/>
      <c r="F73" s="24"/>
      <c r="G73" s="24"/>
      <c r="I73" s="24"/>
      <c r="J73" s="24"/>
      <c r="L73" s="4"/>
      <c r="M73" s="4"/>
      <c r="N73" s="8"/>
      <c r="O73" s="8"/>
      <c r="P73" s="8"/>
      <c r="Q73" s="8"/>
      <c r="R73" s="8"/>
      <c r="S73" s="7"/>
    </row>
    <row r="74" spans="1:19" ht="15" customHeight="1" x14ac:dyDescent="0.3">
      <c r="A74" t="s">
        <v>121</v>
      </c>
      <c r="B74" s="1" t="s">
        <v>121</v>
      </c>
      <c r="C74" s="25">
        <v>2</v>
      </c>
      <c r="D74" s="25"/>
      <c r="E74"/>
      <c r="F74"/>
      <c r="G74"/>
      <c r="I74" s="26"/>
      <c r="J74" s="26"/>
      <c r="L74" s="6"/>
      <c r="M74" s="6"/>
      <c r="N74" s="6"/>
      <c r="O74" s="6"/>
      <c r="P74" s="6"/>
      <c r="Q74" s="6"/>
      <c r="R74" s="6"/>
      <c r="S74" s="7"/>
    </row>
    <row r="75" spans="1:19" ht="15" customHeight="1" x14ac:dyDescent="0.3">
      <c r="A75" t="s">
        <v>9</v>
      </c>
      <c r="B75" s="1" t="s">
        <v>9</v>
      </c>
      <c r="C75" s="25">
        <v>3</v>
      </c>
      <c r="D75" s="25"/>
      <c r="E75"/>
      <c r="F75"/>
      <c r="G75"/>
      <c r="H75"/>
      <c r="I75" s="26"/>
      <c r="J75" s="26"/>
      <c r="L75" s="6"/>
      <c r="M75" s="6"/>
      <c r="N75" s="6"/>
      <c r="O75" s="6"/>
      <c r="P75" s="6"/>
      <c r="Q75" s="6"/>
      <c r="R75" s="6"/>
      <c r="S75" s="7"/>
    </row>
    <row r="76" spans="1:19" ht="15" customHeight="1" x14ac:dyDescent="0.3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7"/>
    </row>
    <row r="77" spans="1:19" s="5" customFormat="1" ht="15" customHeight="1" x14ac:dyDescent="0.3">
      <c r="A77" s="3" t="s">
        <v>150</v>
      </c>
      <c r="B77" s="4" t="s">
        <v>9</v>
      </c>
      <c r="C77" s="4" t="s">
        <v>121</v>
      </c>
      <c r="D77" s="4"/>
      <c r="F77" s="4"/>
      <c r="G77" s="4"/>
      <c r="H77" s="4"/>
      <c r="I77" s="4"/>
      <c r="J77" s="4"/>
      <c r="K77" s="4"/>
      <c r="L77" s="4"/>
      <c r="M77" s="4"/>
      <c r="N77" s="8"/>
      <c r="O77" s="8"/>
      <c r="P77" s="8"/>
      <c r="Q77" s="8"/>
      <c r="R77" s="8"/>
      <c r="S77" s="7"/>
    </row>
    <row r="78" spans="1:19" ht="15" customHeight="1" x14ac:dyDescent="0.3">
      <c r="A78" s="2" t="s">
        <v>151</v>
      </c>
      <c r="B78" s="1">
        <v>9</v>
      </c>
      <c r="C78" s="1">
        <v>9.5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7"/>
    </row>
    <row r="79" spans="1:19" ht="15" customHeight="1" x14ac:dyDescent="0.3">
      <c r="A79" s="2" t="s">
        <v>152</v>
      </c>
      <c r="B79" s="1">
        <v>9</v>
      </c>
      <c r="C79" s="1">
        <v>9.5</v>
      </c>
    </row>
    <row r="80" spans="1:19" ht="15" customHeight="1" x14ac:dyDescent="0.3">
      <c r="A80" s="2" t="s">
        <v>153</v>
      </c>
      <c r="B80" s="1">
        <v>9</v>
      </c>
      <c r="C80" s="1">
        <v>9.5</v>
      </c>
    </row>
    <row r="81" spans="1:19" ht="15" customHeight="1" x14ac:dyDescent="0.3">
      <c r="A81" s="2" t="s">
        <v>154</v>
      </c>
      <c r="B81" s="1">
        <v>8</v>
      </c>
      <c r="C81" s="1">
        <v>8.5</v>
      </c>
    </row>
    <row r="82" spans="1:19" ht="15" customHeight="1" x14ac:dyDescent="0.3">
      <c r="A82" s="2"/>
    </row>
    <row r="83" spans="1:19" s="5" customFormat="1" ht="15" customHeight="1" x14ac:dyDescent="0.3">
      <c r="A83" s="3" t="s">
        <v>155</v>
      </c>
      <c r="B83" s="4" t="s">
        <v>156</v>
      </c>
      <c r="C83" s="4" t="s">
        <v>157</v>
      </c>
      <c r="D83" s="4" t="s">
        <v>158</v>
      </c>
      <c r="L83" s="4"/>
      <c r="M83" s="4"/>
      <c r="N83" s="8"/>
      <c r="O83" s="8"/>
      <c r="P83" s="8"/>
      <c r="Q83" s="8"/>
      <c r="R83" s="8"/>
      <c r="S83" s="7"/>
    </row>
    <row r="84" spans="1:19" ht="15" customHeight="1" x14ac:dyDescent="0.3">
      <c r="A84" t="s">
        <v>159</v>
      </c>
      <c r="B84" s="9">
        <v>0.03</v>
      </c>
      <c r="C84" s="70">
        <v>0.03</v>
      </c>
      <c r="D84" s="10">
        <f>1000*(1+C84)</f>
        <v>1030</v>
      </c>
      <c r="L84" s="10"/>
      <c r="M84" s="10"/>
    </row>
    <row r="85" spans="1:19" ht="15" customHeight="1" x14ac:dyDescent="0.3">
      <c r="A85" t="s">
        <v>160</v>
      </c>
      <c r="B85" s="1">
        <v>50</v>
      </c>
    </row>
    <row r="86" spans="1:19" ht="15" customHeight="1" x14ac:dyDescent="0.3">
      <c r="A86" t="s">
        <v>161</v>
      </c>
      <c r="B86" s="16">
        <f>850*(100%+B84)</f>
        <v>875.5</v>
      </c>
      <c r="C86" s="16"/>
      <c r="D86" s="16"/>
      <c r="E86" s="16"/>
      <c r="F86" s="16"/>
      <c r="G86" s="16"/>
      <c r="H86" s="16"/>
    </row>
    <row r="87" spans="1:19" ht="15" customHeight="1" x14ac:dyDescent="0.3">
      <c r="A87" t="s">
        <v>162</v>
      </c>
      <c r="B87" s="16">
        <f>1000*(100%+B84)</f>
        <v>1030</v>
      </c>
      <c r="C87" s="16"/>
      <c r="D87" s="16"/>
      <c r="E87" s="16"/>
      <c r="F87" s="16"/>
      <c r="G87" s="16"/>
      <c r="H87" s="16"/>
    </row>
    <row r="88" spans="1:19" ht="15" customHeight="1" x14ac:dyDescent="0.3">
      <c r="B88" s="11"/>
      <c r="C88" s="11"/>
      <c r="D88" s="11"/>
      <c r="E88" s="11"/>
      <c r="F88" s="11"/>
      <c r="G88" s="11"/>
      <c r="H88" s="11"/>
    </row>
    <row r="89" spans="1:19" s="5" customFormat="1" ht="15" customHeight="1" x14ac:dyDescent="0.3">
      <c r="A89" s="3" t="s">
        <v>163</v>
      </c>
      <c r="B89" s="24" t="s">
        <v>164</v>
      </c>
      <c r="C89" s="24"/>
      <c r="D89" s="24"/>
      <c r="E89" s="4"/>
      <c r="F89" s="4"/>
      <c r="G89" s="4"/>
      <c r="H89" s="4"/>
      <c r="I89" s="4"/>
      <c r="J89" s="4"/>
      <c r="K89" s="4"/>
      <c r="L89" s="4"/>
      <c r="M89" s="4"/>
      <c r="N89" s="8"/>
      <c r="O89" s="8"/>
      <c r="P89" s="8"/>
      <c r="Q89" s="8"/>
      <c r="R89" s="8"/>
      <c r="S89" s="7"/>
    </row>
    <row r="90" spans="1:19" ht="15" customHeight="1" x14ac:dyDescent="0.3">
      <c r="A90" t="s">
        <v>165</v>
      </c>
      <c r="B90" t="s">
        <v>165</v>
      </c>
      <c r="C90"/>
      <c r="D90"/>
      <c r="E90"/>
      <c r="F90"/>
      <c r="G90"/>
      <c r="H90"/>
    </row>
    <row r="91" spans="1:19" ht="15" customHeight="1" x14ac:dyDescent="0.3">
      <c r="A91" t="s">
        <v>166</v>
      </c>
      <c r="B91" t="s">
        <v>166</v>
      </c>
      <c r="C91"/>
      <c r="D91"/>
      <c r="E91"/>
      <c r="F91"/>
      <c r="G91"/>
      <c r="H91"/>
    </row>
    <row r="92" spans="1:19" ht="15" customHeight="1" x14ac:dyDescent="0.3">
      <c r="A92" t="s">
        <v>3</v>
      </c>
      <c r="B92" t="s">
        <v>3</v>
      </c>
      <c r="C92"/>
      <c r="D92"/>
      <c r="E92"/>
      <c r="F92"/>
      <c r="G92"/>
      <c r="H92"/>
    </row>
    <row r="93" spans="1:19" ht="15" customHeight="1" x14ac:dyDescent="0.3">
      <c r="A93" t="s">
        <v>167</v>
      </c>
      <c r="B93" t="s">
        <v>168</v>
      </c>
      <c r="C93"/>
      <c r="D93"/>
      <c r="E93"/>
      <c r="F93"/>
      <c r="G93"/>
      <c r="H93"/>
    </row>
    <row r="94" spans="1:19" ht="15" customHeight="1" x14ac:dyDescent="0.3">
      <c r="A94" t="s">
        <v>169</v>
      </c>
      <c r="B94" t="s">
        <v>169</v>
      </c>
      <c r="C94"/>
      <c r="D94"/>
      <c r="E94"/>
      <c r="F94"/>
      <c r="G94"/>
      <c r="H94"/>
    </row>
    <row r="95" spans="1:19" ht="15" customHeight="1" x14ac:dyDescent="0.3">
      <c r="B95"/>
      <c r="C95"/>
      <c r="D95"/>
      <c r="E95"/>
      <c r="F95"/>
      <c r="G95"/>
      <c r="H95"/>
    </row>
    <row r="96" spans="1:19" s="5" customFormat="1" ht="15" customHeight="1" x14ac:dyDescent="0.3">
      <c r="A96" s="3" t="s">
        <v>170</v>
      </c>
      <c r="B96" s="4" t="s">
        <v>102</v>
      </c>
      <c r="C96" s="4"/>
      <c r="D96" s="4"/>
      <c r="E96" s="17"/>
      <c r="F96" s="17"/>
      <c r="G96" s="17"/>
      <c r="H96" s="17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3">
      <c r="A97" t="s">
        <v>276</v>
      </c>
      <c r="B97" s="1">
        <v>1</v>
      </c>
    </row>
    <row r="98" spans="1:19" ht="15" customHeight="1" x14ac:dyDescent="0.3">
      <c r="A98" t="s">
        <v>12</v>
      </c>
      <c r="B98" s="1">
        <v>2</v>
      </c>
    </row>
    <row r="99" spans="1:19" ht="15" customHeight="1" x14ac:dyDescent="0.3">
      <c r="A99" t="s">
        <v>171</v>
      </c>
      <c r="B99" s="1">
        <v>3</v>
      </c>
    </row>
    <row r="100" spans="1:19" ht="15" customHeight="1" x14ac:dyDescent="0.3">
      <c r="A100" t="s">
        <v>172</v>
      </c>
      <c r="B100" s="1">
        <v>4</v>
      </c>
    </row>
    <row r="102" spans="1:19" s="5" customFormat="1" ht="15" customHeight="1" x14ac:dyDescent="0.3">
      <c r="A102" s="3" t="s">
        <v>173</v>
      </c>
      <c r="B102" s="4"/>
      <c r="C102" s="4"/>
      <c r="D102" s="4"/>
      <c r="E102" s="17"/>
      <c r="F102" s="17"/>
      <c r="G102" s="17"/>
      <c r="H102" s="17"/>
      <c r="I102" s="4"/>
      <c r="J102" s="4"/>
      <c r="K102" s="4"/>
      <c r="L102" s="4"/>
      <c r="M102" s="4"/>
      <c r="N102" s="8"/>
      <c r="O102" s="8"/>
      <c r="P102" s="8"/>
      <c r="Q102" s="8"/>
      <c r="R102" s="8"/>
      <c r="S102" s="7"/>
    </row>
    <row r="103" spans="1:19" ht="15" customHeight="1" x14ac:dyDescent="0.3">
      <c r="A103" t="s">
        <v>174</v>
      </c>
    </row>
    <row r="104" spans="1:19" ht="15" customHeight="1" x14ac:dyDescent="0.3">
      <c r="A104" t="s">
        <v>4</v>
      </c>
    </row>
    <row r="105" spans="1:19" ht="15" customHeight="1" x14ac:dyDescent="0.3">
      <c r="A105" t="s">
        <v>175</v>
      </c>
    </row>
    <row r="106" spans="1:19" ht="15" customHeight="1" x14ac:dyDescent="0.3">
      <c r="A106" t="s">
        <v>176</v>
      </c>
    </row>
    <row r="107" spans="1:19" ht="15" customHeight="1" x14ac:dyDescent="0.3">
      <c r="A107" t="s">
        <v>177</v>
      </c>
    </row>
  </sheetData>
  <sortState xmlns:xlrd2="http://schemas.microsoft.com/office/spreadsheetml/2017/richdata2" ref="A28:S72">
    <sortCondition ref="A28:A72"/>
  </sortState>
  <mergeCells count="6">
    <mergeCell ref="Q2:R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80"/>
  <sheetViews>
    <sheetView workbookViewId="0">
      <selection activeCell="C24" sqref="C24"/>
    </sheetView>
  </sheetViews>
  <sheetFormatPr defaultColWidth="9.109375" defaultRowHeight="17.100000000000001" customHeight="1" x14ac:dyDescent="0.3"/>
  <cols>
    <col min="1" max="1" width="99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178</v>
      </c>
      <c r="B1" s="69" t="s">
        <v>101</v>
      </c>
      <c r="C1" s="12" t="s">
        <v>2</v>
      </c>
    </row>
    <row r="2" spans="1:3" ht="17.100000000000001" customHeight="1" x14ac:dyDescent="0.3">
      <c r="A2" t="s">
        <v>181</v>
      </c>
      <c r="B2" s="99">
        <v>2</v>
      </c>
      <c r="C2" t="s">
        <v>165</v>
      </c>
    </row>
    <row r="3" spans="1:3" ht="17.100000000000001" customHeight="1" x14ac:dyDescent="0.3">
      <c r="A3" t="s">
        <v>182</v>
      </c>
      <c r="B3" s="99">
        <v>2</v>
      </c>
      <c r="C3" t="s">
        <v>165</v>
      </c>
    </row>
    <row r="4" spans="1:3" ht="17.100000000000001" customHeight="1" x14ac:dyDescent="0.3">
      <c r="A4" t="s">
        <v>183</v>
      </c>
      <c r="B4" s="1">
        <v>4</v>
      </c>
      <c r="C4" t="s">
        <v>165</v>
      </c>
    </row>
    <row r="5" spans="1:3" ht="17.100000000000001" customHeight="1" x14ac:dyDescent="0.3">
      <c r="A5" t="s">
        <v>184</v>
      </c>
      <c r="B5" s="1">
        <v>2</v>
      </c>
      <c r="C5" t="s">
        <v>165</v>
      </c>
    </row>
    <row r="6" spans="1:3" ht="17.100000000000001" customHeight="1" x14ac:dyDescent="0.3">
      <c r="A6" t="s">
        <v>185</v>
      </c>
      <c r="B6" s="1">
        <v>3</v>
      </c>
      <c r="C6" t="s">
        <v>165</v>
      </c>
    </row>
    <row r="7" spans="1:3" ht="17.100000000000001" customHeight="1" x14ac:dyDescent="0.3">
      <c r="A7" t="s">
        <v>186</v>
      </c>
      <c r="B7" s="99">
        <v>3</v>
      </c>
      <c r="C7" t="s">
        <v>165</v>
      </c>
    </row>
    <row r="8" spans="1:3" ht="17.100000000000001" customHeight="1" x14ac:dyDescent="0.3">
      <c r="A8" t="s">
        <v>277</v>
      </c>
      <c r="B8" s="1">
        <v>1</v>
      </c>
      <c r="C8" t="s">
        <v>165</v>
      </c>
    </row>
    <row r="9" spans="1:3" ht="17.100000000000001" customHeight="1" x14ac:dyDescent="0.3">
      <c r="A9" t="s">
        <v>278</v>
      </c>
      <c r="B9" s="1">
        <v>1</v>
      </c>
      <c r="C9" t="s">
        <v>165</v>
      </c>
    </row>
    <row r="10" spans="1:3" ht="17.100000000000001" customHeight="1" x14ac:dyDescent="0.3">
      <c r="A10" t="s">
        <v>279</v>
      </c>
      <c r="B10" s="1">
        <v>1</v>
      </c>
      <c r="C10" t="s">
        <v>165</v>
      </c>
    </row>
    <row r="11" spans="1:3" ht="17.100000000000001" customHeight="1" x14ac:dyDescent="0.3">
      <c r="A11" t="s">
        <v>280</v>
      </c>
      <c r="B11" s="1">
        <v>1</v>
      </c>
      <c r="C11" t="s">
        <v>165</v>
      </c>
    </row>
    <row r="12" spans="1:3" ht="17.100000000000001" customHeight="1" x14ac:dyDescent="0.3">
      <c r="A12" t="s">
        <v>281</v>
      </c>
      <c r="B12" s="1">
        <v>1</v>
      </c>
      <c r="C12" t="s">
        <v>165</v>
      </c>
    </row>
    <row r="13" spans="1:3" ht="17.100000000000001" customHeight="1" x14ac:dyDescent="0.3">
      <c r="A13" t="s">
        <v>282</v>
      </c>
      <c r="B13" s="1">
        <v>1</v>
      </c>
      <c r="C13" t="s">
        <v>165</v>
      </c>
    </row>
    <row r="14" spans="1:3" ht="17.100000000000001" customHeight="1" x14ac:dyDescent="0.3">
      <c r="A14" t="s">
        <v>283</v>
      </c>
      <c r="B14" s="1">
        <v>1</v>
      </c>
      <c r="C14" t="s">
        <v>165</v>
      </c>
    </row>
    <row r="15" spans="1:3" ht="17.100000000000001" customHeight="1" x14ac:dyDescent="0.3">
      <c r="A15" t="s">
        <v>284</v>
      </c>
      <c r="B15" s="1">
        <v>1</v>
      </c>
      <c r="C15" t="s">
        <v>165</v>
      </c>
    </row>
    <row r="16" spans="1:3" ht="17.100000000000001" customHeight="1" x14ac:dyDescent="0.3">
      <c r="A16" t="s">
        <v>285</v>
      </c>
      <c r="B16" s="1">
        <v>1</v>
      </c>
      <c r="C16" t="s">
        <v>165</v>
      </c>
    </row>
    <row r="17" spans="1:4" ht="17.100000000000001" customHeight="1" x14ac:dyDescent="0.3">
      <c r="A17" t="s">
        <v>287</v>
      </c>
      <c r="B17" s="1">
        <v>2</v>
      </c>
      <c r="C17" t="s">
        <v>165</v>
      </c>
    </row>
    <row r="18" spans="1:4" ht="17.100000000000001" customHeight="1" x14ac:dyDescent="0.3">
      <c r="A18" t="s">
        <v>286</v>
      </c>
      <c r="B18" s="1">
        <v>2</v>
      </c>
      <c r="C18" t="s">
        <v>165</v>
      </c>
    </row>
    <row r="20" spans="1:4" ht="17.100000000000001" customHeight="1" x14ac:dyDescent="0.3">
      <c r="A20" s="12" t="s">
        <v>187</v>
      </c>
      <c r="B20"/>
      <c r="D20"/>
    </row>
    <row r="21" spans="1:4" ht="17.100000000000001" customHeight="1" x14ac:dyDescent="0.3">
      <c r="A21" t="s">
        <v>188</v>
      </c>
      <c r="B21" s="1">
        <v>3.4</v>
      </c>
      <c r="C21" t="s">
        <v>166</v>
      </c>
      <c r="D21"/>
    </row>
    <row r="22" spans="1:4" ht="17.100000000000001" customHeight="1" x14ac:dyDescent="0.3">
      <c r="A22" t="s">
        <v>189</v>
      </c>
      <c r="B22" s="1">
        <v>3.4</v>
      </c>
      <c r="C22" t="s">
        <v>166</v>
      </c>
      <c r="D22"/>
    </row>
    <row r="23" spans="1:4" ht="17.100000000000001" customHeight="1" x14ac:dyDescent="0.3">
      <c r="A23" t="s">
        <v>190</v>
      </c>
      <c r="B23" s="1">
        <v>4</v>
      </c>
      <c r="C23" t="s">
        <v>166</v>
      </c>
      <c r="D23"/>
    </row>
    <row r="24" spans="1:4" ht="17.100000000000001" customHeight="1" x14ac:dyDescent="0.3">
      <c r="A24" t="s">
        <v>191</v>
      </c>
      <c r="B24" s="1">
        <v>3</v>
      </c>
      <c r="C24" t="s">
        <v>166</v>
      </c>
      <c r="D24"/>
    </row>
    <row r="25" spans="1:4" ht="17.100000000000001" customHeight="1" x14ac:dyDescent="0.3">
      <c r="A25" t="s">
        <v>192</v>
      </c>
      <c r="B25" s="1">
        <v>4</v>
      </c>
      <c r="C25" t="s">
        <v>166</v>
      </c>
      <c r="D25"/>
    </row>
    <row r="26" spans="1:4" ht="17.100000000000001" customHeight="1" x14ac:dyDescent="0.3">
      <c r="A26" t="s">
        <v>193</v>
      </c>
      <c r="B26" s="1">
        <v>3</v>
      </c>
      <c r="C26" t="s">
        <v>166</v>
      </c>
      <c r="D26"/>
    </row>
    <row r="27" spans="1:4" ht="17.100000000000001" customHeight="1" x14ac:dyDescent="0.3">
      <c r="A27" t="s">
        <v>194</v>
      </c>
      <c r="B27" s="1">
        <v>4</v>
      </c>
      <c r="C27" t="s">
        <v>166</v>
      </c>
      <c r="D27"/>
    </row>
    <row r="28" spans="1:4" ht="17.100000000000001" customHeight="1" x14ac:dyDescent="0.3">
      <c r="A28" t="s">
        <v>195</v>
      </c>
      <c r="B28" s="1">
        <v>2</v>
      </c>
      <c r="C28" t="s">
        <v>166</v>
      </c>
      <c r="D28"/>
    </row>
    <row r="29" spans="1:4" ht="17.100000000000001" customHeight="1" x14ac:dyDescent="0.3">
      <c r="A29" t="s">
        <v>196</v>
      </c>
      <c r="B29" s="1">
        <v>2</v>
      </c>
      <c r="C29" t="s">
        <v>166</v>
      </c>
      <c r="D29"/>
    </row>
    <row r="30" spans="1:4" ht="17.100000000000001" customHeight="1" x14ac:dyDescent="0.3">
      <c r="A30" t="s">
        <v>340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197</v>
      </c>
      <c r="B31" s="1">
        <v>3</v>
      </c>
      <c r="C31" t="s">
        <v>166</v>
      </c>
      <c r="D31"/>
    </row>
    <row r="32" spans="1:4" ht="17.100000000000001" customHeight="1" x14ac:dyDescent="0.3">
      <c r="A32" t="s">
        <v>198</v>
      </c>
      <c r="B32" s="1">
        <v>3</v>
      </c>
      <c r="C32" t="s">
        <v>166</v>
      </c>
      <c r="D32"/>
    </row>
    <row r="33" spans="1:4" ht="17.100000000000001" customHeight="1" x14ac:dyDescent="0.3">
      <c r="A33" t="s">
        <v>199</v>
      </c>
      <c r="B33" s="1">
        <v>4</v>
      </c>
      <c r="C33" t="s">
        <v>166</v>
      </c>
      <c r="D33"/>
    </row>
    <row r="34" spans="1:4" ht="17.100000000000001" customHeight="1" x14ac:dyDescent="0.3">
      <c r="A34" t="s">
        <v>200</v>
      </c>
      <c r="B34" s="1">
        <v>4</v>
      </c>
      <c r="C34" t="s">
        <v>166</v>
      </c>
      <c r="D34"/>
    </row>
    <row r="35" spans="1:4" ht="17.100000000000001" customHeight="1" x14ac:dyDescent="0.3">
      <c r="A35" t="s">
        <v>179</v>
      </c>
      <c r="B35" s="1">
        <v>2</v>
      </c>
      <c r="C35" t="s">
        <v>166</v>
      </c>
      <c r="D35"/>
    </row>
    <row r="36" spans="1:4" ht="17.100000000000001" customHeight="1" x14ac:dyDescent="0.3">
      <c r="A36" t="s">
        <v>180</v>
      </c>
      <c r="B36" s="1">
        <v>2</v>
      </c>
      <c r="C36" t="s">
        <v>166</v>
      </c>
      <c r="D36"/>
    </row>
    <row r="37" spans="1:4" ht="17.100000000000001" customHeight="1" x14ac:dyDescent="0.3">
      <c r="A37" t="s">
        <v>201</v>
      </c>
      <c r="B37" s="1">
        <v>3</v>
      </c>
      <c r="C37" t="s">
        <v>166</v>
      </c>
      <c r="D37"/>
    </row>
    <row r="38" spans="1:4" ht="17.100000000000001" customHeight="1" x14ac:dyDescent="0.3">
      <c r="A38" t="s">
        <v>202</v>
      </c>
      <c r="B38" s="1">
        <v>4</v>
      </c>
      <c r="C38" t="s">
        <v>166</v>
      </c>
      <c r="D38"/>
    </row>
    <row r="39" spans="1:4" ht="17.100000000000001" customHeight="1" x14ac:dyDescent="0.3">
      <c r="A39" t="s">
        <v>203</v>
      </c>
      <c r="B39" s="1">
        <v>3</v>
      </c>
      <c r="C39" t="s">
        <v>166</v>
      </c>
      <c r="D39"/>
    </row>
    <row r="40" spans="1:4" ht="17.100000000000001" customHeight="1" x14ac:dyDescent="0.3">
      <c r="A40" t="s">
        <v>204</v>
      </c>
      <c r="B40" s="1">
        <v>4</v>
      </c>
      <c r="C40" t="s">
        <v>166</v>
      </c>
      <c r="D40"/>
    </row>
    <row r="41" spans="1:4" ht="17.100000000000001" customHeight="1" x14ac:dyDescent="0.3">
      <c r="A41" t="s">
        <v>205</v>
      </c>
      <c r="B41" s="1">
        <v>3</v>
      </c>
      <c r="C41" t="s">
        <v>166</v>
      </c>
      <c r="D41"/>
    </row>
    <row r="42" spans="1:4" ht="17.100000000000001" customHeight="1" x14ac:dyDescent="0.3">
      <c r="A42" t="s">
        <v>206</v>
      </c>
      <c r="B42" s="1">
        <v>4</v>
      </c>
      <c r="C42" t="s">
        <v>166</v>
      </c>
      <c r="D42"/>
    </row>
    <row r="43" spans="1:4" ht="17.100000000000001" customHeight="1" x14ac:dyDescent="0.3">
      <c r="A43" t="s">
        <v>207</v>
      </c>
      <c r="B43" s="1">
        <v>4</v>
      </c>
      <c r="C43" t="s">
        <v>166</v>
      </c>
      <c r="D43"/>
    </row>
    <row r="44" spans="1:4" ht="17.100000000000001" customHeight="1" x14ac:dyDescent="0.3">
      <c r="A44" t="s">
        <v>208</v>
      </c>
      <c r="B44" s="1">
        <v>4</v>
      </c>
      <c r="C44" t="s">
        <v>166</v>
      </c>
      <c r="D44"/>
    </row>
    <row r="45" spans="1:4" ht="17.100000000000001" customHeight="1" x14ac:dyDescent="0.3">
      <c r="A45" t="s">
        <v>209</v>
      </c>
      <c r="B45" s="1">
        <v>4</v>
      </c>
      <c r="C45" t="s">
        <v>166</v>
      </c>
      <c r="D45"/>
    </row>
    <row r="46" spans="1:4" ht="17.100000000000001" customHeight="1" x14ac:dyDescent="0.3">
      <c r="A46" t="s">
        <v>210</v>
      </c>
      <c r="B46" s="1">
        <v>2</v>
      </c>
      <c r="C46" t="s">
        <v>166</v>
      </c>
      <c r="D46"/>
    </row>
    <row r="47" spans="1:4" ht="17.100000000000001" customHeight="1" x14ac:dyDescent="0.3">
      <c r="A47" t="s">
        <v>211</v>
      </c>
      <c r="B47" s="1">
        <v>2</v>
      </c>
      <c r="C47" t="s">
        <v>166</v>
      </c>
      <c r="D47"/>
    </row>
    <row r="48" spans="1:4" ht="17.100000000000001" customHeight="1" x14ac:dyDescent="0.3">
      <c r="A48" t="s">
        <v>212</v>
      </c>
      <c r="B48" s="1">
        <v>3</v>
      </c>
      <c r="C48" t="s">
        <v>166</v>
      </c>
      <c r="D48"/>
    </row>
    <row r="49" spans="1:4" ht="17.100000000000001" customHeight="1" x14ac:dyDescent="0.3">
      <c r="A49" t="s">
        <v>213</v>
      </c>
      <c r="B49" s="1">
        <v>4</v>
      </c>
      <c r="C49" t="s">
        <v>166</v>
      </c>
      <c r="D49"/>
    </row>
    <row r="50" spans="1:4" ht="17.100000000000001" customHeight="1" x14ac:dyDescent="0.3">
      <c r="A50" t="s">
        <v>214</v>
      </c>
      <c r="B50" s="1">
        <v>4</v>
      </c>
      <c r="C50" t="s">
        <v>166</v>
      </c>
      <c r="D50"/>
    </row>
    <row r="51" spans="1:4" ht="17.100000000000001" customHeight="1" x14ac:dyDescent="0.3">
      <c r="A51" t="s">
        <v>215</v>
      </c>
      <c r="B51" s="1">
        <v>2</v>
      </c>
      <c r="C51" t="s">
        <v>166</v>
      </c>
      <c r="D51"/>
    </row>
    <row r="52" spans="1:4" ht="17.100000000000001" customHeight="1" x14ac:dyDescent="0.3">
      <c r="A52" t="s">
        <v>216</v>
      </c>
      <c r="B52" s="1">
        <v>3</v>
      </c>
      <c r="C52" t="s">
        <v>166</v>
      </c>
      <c r="D52"/>
    </row>
    <row r="53" spans="1:4" ht="17.100000000000001" customHeight="1" x14ac:dyDescent="0.3">
      <c r="A53" t="s">
        <v>342</v>
      </c>
      <c r="B53" s="1">
        <v>3</v>
      </c>
      <c r="C53" t="s">
        <v>166</v>
      </c>
      <c r="D53"/>
    </row>
    <row r="54" spans="1:4" ht="17.100000000000001" customHeight="1" x14ac:dyDescent="0.3">
      <c r="A54" t="s">
        <v>343</v>
      </c>
      <c r="B54" s="1">
        <v>4</v>
      </c>
      <c r="C54" t="s">
        <v>166</v>
      </c>
      <c r="D54"/>
    </row>
    <row r="55" spans="1:4" ht="17.100000000000001" customHeight="1" x14ac:dyDescent="0.3">
      <c r="A55" t="s">
        <v>344</v>
      </c>
      <c r="B55" s="1">
        <v>4</v>
      </c>
      <c r="C55" t="s">
        <v>166</v>
      </c>
      <c r="D55"/>
    </row>
    <row r="56" spans="1:4" ht="17.100000000000001" customHeight="1" x14ac:dyDescent="0.3">
      <c r="A56" t="s">
        <v>288</v>
      </c>
      <c r="B56" s="1">
        <v>2</v>
      </c>
      <c r="C56" t="s">
        <v>166</v>
      </c>
      <c r="D56"/>
    </row>
    <row r="57" spans="1:4" ht="17.100000000000001" customHeight="1" x14ac:dyDescent="0.3">
      <c r="A57" t="s">
        <v>289</v>
      </c>
      <c r="B57" s="1">
        <v>3</v>
      </c>
      <c r="C57" t="s">
        <v>166</v>
      </c>
      <c r="D57"/>
    </row>
    <row r="58" spans="1:4" ht="17.100000000000001" customHeight="1" x14ac:dyDescent="0.3">
      <c r="D58"/>
    </row>
    <row r="59" spans="1:4" ht="17.100000000000001" customHeight="1" x14ac:dyDescent="0.3">
      <c r="A59" s="12" t="s">
        <v>217</v>
      </c>
      <c r="B59" s="69"/>
      <c r="D59"/>
    </row>
    <row r="60" spans="1:4" ht="17.100000000000001" customHeight="1" x14ac:dyDescent="0.3">
      <c r="A60" t="s">
        <v>218</v>
      </c>
      <c r="B60" s="1">
        <v>4</v>
      </c>
      <c r="C60" t="s">
        <v>341</v>
      </c>
      <c r="D60"/>
    </row>
    <row r="61" spans="1:4" ht="17.100000000000001" customHeight="1" x14ac:dyDescent="0.3">
      <c r="A61" t="s">
        <v>219</v>
      </c>
      <c r="B61" s="1">
        <v>4</v>
      </c>
      <c r="C61" t="s">
        <v>341</v>
      </c>
      <c r="D61"/>
    </row>
    <row r="62" spans="1:4" ht="17.100000000000001" customHeight="1" x14ac:dyDescent="0.3">
      <c r="A62" t="s">
        <v>220</v>
      </c>
      <c r="B62" s="1">
        <v>3</v>
      </c>
      <c r="C62" t="s">
        <v>341</v>
      </c>
      <c r="D62"/>
    </row>
    <row r="63" spans="1:4" ht="17.100000000000001" customHeight="1" x14ac:dyDescent="0.3">
      <c r="A63" t="s">
        <v>6</v>
      </c>
      <c r="B63" s="1">
        <v>3</v>
      </c>
      <c r="C63" t="s">
        <v>341</v>
      </c>
      <c r="D63"/>
    </row>
    <row r="64" spans="1:4" ht="17.100000000000001" customHeight="1" x14ac:dyDescent="0.3">
      <c r="A64" t="s">
        <v>346</v>
      </c>
      <c r="B64" s="1">
        <v>3</v>
      </c>
      <c r="C64" t="s">
        <v>341</v>
      </c>
      <c r="D64"/>
    </row>
    <row r="65" spans="1:4" ht="17.100000000000001" customHeight="1" x14ac:dyDescent="0.3">
      <c r="D65"/>
    </row>
    <row r="66" spans="1:4" ht="17.100000000000001" customHeight="1" x14ac:dyDescent="0.3">
      <c r="A66" s="12" t="s">
        <v>221</v>
      </c>
      <c r="D66"/>
    </row>
    <row r="67" spans="1:4" ht="17.100000000000001" customHeight="1" x14ac:dyDescent="0.3">
      <c r="A67" s="12" t="s">
        <v>174</v>
      </c>
      <c r="D67"/>
    </row>
    <row r="68" spans="1:4" ht="17.100000000000001" customHeight="1" x14ac:dyDescent="0.3">
      <c r="A68" t="s">
        <v>330</v>
      </c>
      <c r="B68" s="1">
        <v>2</v>
      </c>
      <c r="C68" t="s">
        <v>167</v>
      </c>
      <c r="D68"/>
    </row>
    <row r="69" spans="1:4" ht="17.100000000000001" customHeight="1" x14ac:dyDescent="0.3">
      <c r="A69" t="s">
        <v>328</v>
      </c>
      <c r="B69" s="1">
        <v>2</v>
      </c>
      <c r="C69" t="s">
        <v>167</v>
      </c>
      <c r="D69"/>
    </row>
    <row r="70" spans="1:4" ht="17.100000000000001" customHeight="1" x14ac:dyDescent="0.3">
      <c r="A70" t="s">
        <v>222</v>
      </c>
      <c r="B70" s="1">
        <v>3</v>
      </c>
      <c r="C70" t="s">
        <v>167</v>
      </c>
      <c r="D70"/>
    </row>
    <row r="71" spans="1:4" ht="17.100000000000001" customHeight="1" x14ac:dyDescent="0.3">
      <c r="A71" t="s">
        <v>329</v>
      </c>
      <c r="B71" s="1">
        <v>4</v>
      </c>
      <c r="C71" t="s">
        <v>167</v>
      </c>
      <c r="D71"/>
    </row>
    <row r="72" spans="1:4" ht="17.100000000000001" customHeight="1" x14ac:dyDescent="0.3">
      <c r="A72" t="s">
        <v>223</v>
      </c>
      <c r="B72" s="1">
        <v>2</v>
      </c>
      <c r="C72" t="s">
        <v>167</v>
      </c>
      <c r="D72"/>
    </row>
    <row r="73" spans="1:4" ht="17.100000000000001" customHeight="1" x14ac:dyDescent="0.3">
      <c r="D73"/>
    </row>
    <row r="74" spans="1:4" ht="17.100000000000001" customHeight="1" x14ac:dyDescent="0.3">
      <c r="A74" s="12" t="s">
        <v>4</v>
      </c>
    </row>
    <row r="75" spans="1:4" ht="17.100000000000001" customHeight="1" x14ac:dyDescent="0.3">
      <c r="A75" t="s">
        <v>224</v>
      </c>
      <c r="B75" s="1">
        <v>3</v>
      </c>
      <c r="C75" t="s">
        <v>167</v>
      </c>
    </row>
    <row r="76" spans="1:4" ht="17.100000000000001" customHeight="1" x14ac:dyDescent="0.3">
      <c r="A76" t="s">
        <v>225</v>
      </c>
      <c r="B76" s="1">
        <v>2</v>
      </c>
      <c r="C76" t="s">
        <v>167</v>
      </c>
      <c r="D76"/>
    </row>
    <row r="77" spans="1:4" ht="17.100000000000001" customHeight="1" x14ac:dyDescent="0.3">
      <c r="A77" t="s">
        <v>226</v>
      </c>
      <c r="B77" s="1">
        <v>4</v>
      </c>
      <c r="C77" t="s">
        <v>167</v>
      </c>
      <c r="D77"/>
    </row>
    <row r="78" spans="1:4" ht="17.100000000000001" customHeight="1" x14ac:dyDescent="0.3">
      <c r="A78" t="s">
        <v>227</v>
      </c>
      <c r="B78" s="1">
        <v>4</v>
      </c>
      <c r="C78" t="s">
        <v>167</v>
      </c>
      <c r="D78"/>
    </row>
    <row r="79" spans="1:4" ht="17.100000000000001" customHeight="1" x14ac:dyDescent="0.3">
      <c r="A79" t="s">
        <v>300</v>
      </c>
      <c r="B79" s="1">
        <v>3</v>
      </c>
      <c r="C79" t="s">
        <v>167</v>
      </c>
      <c r="D79"/>
    </row>
    <row r="80" spans="1:4" ht="17.100000000000001" customHeight="1" x14ac:dyDescent="0.3">
      <c r="A80" t="s">
        <v>228</v>
      </c>
      <c r="B80" s="1">
        <v>2</v>
      </c>
      <c r="C80" t="s">
        <v>167</v>
      </c>
      <c r="D80"/>
    </row>
    <row r="81" spans="1:4" ht="17.100000000000001" customHeight="1" x14ac:dyDescent="0.3">
      <c r="A81" t="s">
        <v>229</v>
      </c>
      <c r="B81" s="1">
        <v>3</v>
      </c>
      <c r="C81" t="s">
        <v>167</v>
      </c>
      <c r="D81"/>
    </row>
    <row r="82" spans="1:4" ht="17.100000000000001" customHeight="1" x14ac:dyDescent="0.3">
      <c r="A82" t="s">
        <v>230</v>
      </c>
      <c r="B82" s="1">
        <v>3</v>
      </c>
      <c r="C82" t="s">
        <v>167</v>
      </c>
      <c r="D82"/>
    </row>
    <row r="83" spans="1:4" ht="17.100000000000001" customHeight="1" x14ac:dyDescent="0.3">
      <c r="A83" t="s">
        <v>231</v>
      </c>
      <c r="B83" s="1">
        <v>2</v>
      </c>
      <c r="C83" t="s">
        <v>167</v>
      </c>
      <c r="D83"/>
    </row>
    <row r="84" spans="1:4" ht="17.100000000000001" customHeight="1" x14ac:dyDescent="0.3">
      <c r="A84" t="s">
        <v>232</v>
      </c>
      <c r="B84" s="1">
        <v>3</v>
      </c>
      <c r="C84" t="s">
        <v>167</v>
      </c>
      <c r="D84"/>
    </row>
    <row r="85" spans="1:4" ht="17.100000000000001" customHeight="1" x14ac:dyDescent="0.3">
      <c r="A85" t="s">
        <v>290</v>
      </c>
      <c r="B85" s="1">
        <v>3</v>
      </c>
      <c r="C85" t="s">
        <v>167</v>
      </c>
      <c r="D85"/>
    </row>
    <row r="86" spans="1:4" ht="17.100000000000001" customHeight="1" x14ac:dyDescent="0.3">
      <c r="A86" t="s">
        <v>293</v>
      </c>
      <c r="B86" s="1">
        <v>2</v>
      </c>
      <c r="C86" t="s">
        <v>167</v>
      </c>
      <c r="D86"/>
    </row>
    <row r="87" spans="1:4" ht="17.100000000000001" customHeight="1" x14ac:dyDescent="0.3">
      <c r="A87" t="s">
        <v>292</v>
      </c>
      <c r="B87" s="1">
        <v>3</v>
      </c>
      <c r="C87" t="s">
        <v>167</v>
      </c>
      <c r="D87"/>
    </row>
    <row r="88" spans="1:4" ht="17.100000000000001" customHeight="1" x14ac:dyDescent="0.3">
      <c r="A88" t="s">
        <v>233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296</v>
      </c>
      <c r="B89" s="1">
        <v>2</v>
      </c>
      <c r="C89" t="s">
        <v>167</v>
      </c>
      <c r="D89"/>
    </row>
    <row r="90" spans="1:4" ht="17.100000000000001" customHeight="1" x14ac:dyDescent="0.3">
      <c r="A90" t="s">
        <v>291</v>
      </c>
      <c r="B90" s="1">
        <v>2</v>
      </c>
      <c r="C90" t="s">
        <v>167</v>
      </c>
      <c r="D90"/>
    </row>
    <row r="91" spans="1:4" ht="17.100000000000001" customHeight="1" x14ac:dyDescent="0.3">
      <c r="A91" s="138" t="s">
        <v>345</v>
      </c>
      <c r="B91" s="1">
        <v>3</v>
      </c>
      <c r="C91" t="s">
        <v>167</v>
      </c>
      <c r="D91"/>
    </row>
    <row r="92" spans="1:4" ht="17.100000000000001" customHeight="1" x14ac:dyDescent="0.3">
      <c r="A92" t="s">
        <v>234</v>
      </c>
      <c r="B92" s="1">
        <v>2</v>
      </c>
      <c r="C92" t="s">
        <v>167</v>
      </c>
      <c r="D92"/>
    </row>
    <row r="93" spans="1:4" ht="17.100000000000001" customHeight="1" x14ac:dyDescent="0.3">
      <c r="A93" t="s">
        <v>235</v>
      </c>
      <c r="B93" s="1">
        <v>2</v>
      </c>
      <c r="C93" t="s">
        <v>167</v>
      </c>
      <c r="D93"/>
    </row>
    <row r="94" spans="1:4" ht="17.100000000000001" customHeight="1" x14ac:dyDescent="0.3">
      <c r="A94" t="s">
        <v>236</v>
      </c>
      <c r="B94" s="1">
        <v>3</v>
      </c>
      <c r="C94" t="s">
        <v>167</v>
      </c>
      <c r="D94"/>
    </row>
    <row r="95" spans="1:4" ht="17.100000000000001" customHeight="1" x14ac:dyDescent="0.3">
      <c r="A95" t="s">
        <v>237</v>
      </c>
      <c r="B95" s="1">
        <v>2</v>
      </c>
      <c r="C95" t="s">
        <v>167</v>
      </c>
      <c r="D95"/>
    </row>
    <row r="96" spans="1:4" ht="17.100000000000001" customHeight="1" x14ac:dyDescent="0.3">
      <c r="A96" t="s">
        <v>238</v>
      </c>
      <c r="B96" s="1">
        <v>4</v>
      </c>
      <c r="C96" t="s">
        <v>167</v>
      </c>
      <c r="D96"/>
    </row>
    <row r="97" spans="1:4" ht="17.100000000000001" customHeight="1" x14ac:dyDescent="0.3">
      <c r="A97" t="s">
        <v>299</v>
      </c>
      <c r="B97" s="1">
        <v>4</v>
      </c>
      <c r="C97" t="s">
        <v>167</v>
      </c>
      <c r="D97"/>
    </row>
    <row r="98" spans="1:4" ht="17.100000000000001" customHeight="1" x14ac:dyDescent="0.3">
      <c r="A98" t="s">
        <v>294</v>
      </c>
      <c r="B98" s="1">
        <v>2</v>
      </c>
      <c r="C98" t="s">
        <v>167</v>
      </c>
      <c r="D98"/>
    </row>
    <row r="99" spans="1:4" ht="17.100000000000001" customHeight="1" x14ac:dyDescent="0.3">
      <c r="A99" t="s">
        <v>298</v>
      </c>
      <c r="B99" s="1">
        <v>3</v>
      </c>
      <c r="C99" t="s">
        <v>167</v>
      </c>
      <c r="D99"/>
    </row>
    <row r="100" spans="1:4" ht="17.100000000000001" customHeight="1" x14ac:dyDescent="0.3">
      <c r="A100" t="s">
        <v>295</v>
      </c>
      <c r="B100" s="1">
        <v>2</v>
      </c>
      <c r="C100" t="s">
        <v>167</v>
      </c>
      <c r="D100"/>
    </row>
    <row r="101" spans="1:4" ht="17.100000000000001" customHeight="1" x14ac:dyDescent="0.3">
      <c r="A101" t="s">
        <v>297</v>
      </c>
      <c r="B101" s="1">
        <v>2</v>
      </c>
      <c r="C101" t="s">
        <v>167</v>
      </c>
      <c r="D101"/>
    </row>
    <row r="102" spans="1:4" ht="17.100000000000001" customHeight="1" x14ac:dyDescent="0.3">
      <c r="A102" t="s">
        <v>239</v>
      </c>
      <c r="B102" s="1">
        <v>2</v>
      </c>
      <c r="C102" t="s">
        <v>167</v>
      </c>
      <c r="D102"/>
    </row>
    <row r="103" spans="1:4" ht="17.100000000000001" customHeight="1" x14ac:dyDescent="0.3">
      <c r="A103" t="s">
        <v>240</v>
      </c>
      <c r="B103" s="1">
        <v>2</v>
      </c>
      <c r="C103" t="s">
        <v>167</v>
      </c>
      <c r="D103"/>
    </row>
    <row r="104" spans="1:4" ht="17.100000000000001" customHeight="1" x14ac:dyDescent="0.3">
      <c r="A104" t="s">
        <v>241</v>
      </c>
      <c r="B104" s="1">
        <v>3</v>
      </c>
      <c r="C104" t="s">
        <v>167</v>
      </c>
      <c r="D104"/>
    </row>
    <row r="105" spans="1:4" ht="17.100000000000001" customHeight="1" x14ac:dyDescent="0.3">
      <c r="D105"/>
    </row>
    <row r="106" spans="1:4" ht="17.100000000000001" customHeight="1" x14ac:dyDescent="0.3">
      <c r="A106" s="12" t="s">
        <v>242</v>
      </c>
    </row>
    <row r="107" spans="1:4" ht="17.100000000000001" customHeight="1" x14ac:dyDescent="0.3">
      <c r="A107" s="2" t="s">
        <v>243</v>
      </c>
      <c r="B107" s="1">
        <v>4</v>
      </c>
      <c r="C107" t="s">
        <v>167</v>
      </c>
      <c r="D107"/>
    </row>
    <row r="108" spans="1:4" ht="17.100000000000001" customHeight="1" x14ac:dyDescent="0.3">
      <c r="A108" t="s">
        <v>301</v>
      </c>
      <c r="B108" s="1">
        <v>2</v>
      </c>
      <c r="C108" t="s">
        <v>167</v>
      </c>
      <c r="D108"/>
    </row>
    <row r="109" spans="1:4" ht="17.100000000000001" customHeight="1" x14ac:dyDescent="0.3">
      <c r="A109" s="2" t="s">
        <v>244</v>
      </c>
      <c r="B109" s="1">
        <v>3</v>
      </c>
      <c r="C109" t="s">
        <v>167</v>
      </c>
      <c r="D109"/>
    </row>
    <row r="110" spans="1:4" ht="17.100000000000001" customHeight="1" x14ac:dyDescent="0.3">
      <c r="A110" s="2" t="s">
        <v>302</v>
      </c>
      <c r="B110" s="1">
        <v>3</v>
      </c>
      <c r="C110" t="s">
        <v>167</v>
      </c>
      <c r="D110"/>
    </row>
    <row r="111" spans="1:4" ht="17.100000000000001" customHeight="1" x14ac:dyDescent="0.3">
      <c r="A111" t="s">
        <v>245</v>
      </c>
      <c r="B111" s="1">
        <v>3</v>
      </c>
      <c r="C111" t="s">
        <v>167</v>
      </c>
      <c r="D111"/>
    </row>
    <row r="112" spans="1:4" ht="17.100000000000001" customHeight="1" x14ac:dyDescent="0.3">
      <c r="A112" t="s">
        <v>303</v>
      </c>
      <c r="B112" s="1">
        <v>3</v>
      </c>
      <c r="C112" t="s">
        <v>167</v>
      </c>
      <c r="D112"/>
    </row>
    <row r="113" spans="1:4" ht="17.100000000000001" customHeight="1" x14ac:dyDescent="0.3">
      <c r="A113" s="2" t="s">
        <v>246</v>
      </c>
      <c r="B113" s="1">
        <v>2</v>
      </c>
      <c r="C113" t="s">
        <v>167</v>
      </c>
      <c r="D113"/>
    </row>
    <row r="114" spans="1:4" ht="17.100000000000001" customHeight="1" x14ac:dyDescent="0.3">
      <c r="A114" s="2" t="s">
        <v>304</v>
      </c>
      <c r="B114" s="1">
        <v>4</v>
      </c>
      <c r="C114" t="s">
        <v>167</v>
      </c>
      <c r="D114"/>
    </row>
    <row r="115" spans="1:4" ht="17.100000000000001" customHeight="1" x14ac:dyDescent="0.3">
      <c r="A115" s="2" t="s">
        <v>305</v>
      </c>
      <c r="B115" s="1">
        <v>4</v>
      </c>
      <c r="C115" t="s">
        <v>167</v>
      </c>
      <c r="D115"/>
    </row>
    <row r="116" spans="1:4" ht="17.100000000000001" customHeight="1" x14ac:dyDescent="0.3">
      <c r="A116" s="2" t="s">
        <v>306</v>
      </c>
      <c r="B116" s="1">
        <v>4</v>
      </c>
      <c r="C116" t="s">
        <v>167</v>
      </c>
      <c r="D116"/>
    </row>
    <row r="117" spans="1:4" ht="17.100000000000001" customHeight="1" x14ac:dyDescent="0.3">
      <c r="A117" s="2" t="s">
        <v>307</v>
      </c>
      <c r="B117" s="1">
        <v>3</v>
      </c>
      <c r="C117" t="s">
        <v>167</v>
      </c>
      <c r="D117"/>
    </row>
    <row r="118" spans="1:4" ht="17.100000000000001" customHeight="1" x14ac:dyDescent="0.3">
      <c r="A118" s="2" t="s">
        <v>308</v>
      </c>
      <c r="B118" s="1">
        <v>3</v>
      </c>
      <c r="C118" t="s">
        <v>167</v>
      </c>
      <c r="D118"/>
    </row>
    <row r="119" spans="1:4" ht="17.100000000000001" customHeight="1" x14ac:dyDescent="0.3">
      <c r="A119" s="2" t="s">
        <v>309</v>
      </c>
      <c r="B119" s="1">
        <v>3</v>
      </c>
      <c r="C119" t="s">
        <v>167</v>
      </c>
      <c r="D119"/>
    </row>
    <row r="120" spans="1:4" ht="17.100000000000001" customHeight="1" x14ac:dyDescent="0.3">
      <c r="A120" t="s">
        <v>247</v>
      </c>
      <c r="B120" s="1">
        <v>2</v>
      </c>
      <c r="C120" t="s">
        <v>167</v>
      </c>
      <c r="D120"/>
    </row>
    <row r="121" spans="1:4" ht="17.100000000000001" customHeight="1" x14ac:dyDescent="0.3">
      <c r="A121" s="2" t="s">
        <v>310</v>
      </c>
      <c r="B121" s="1">
        <v>4</v>
      </c>
      <c r="C121" t="s">
        <v>167</v>
      </c>
      <c r="D121"/>
    </row>
    <row r="122" spans="1:4" ht="17.100000000000001" customHeight="1" x14ac:dyDescent="0.3">
      <c r="A122" s="2" t="s">
        <v>313</v>
      </c>
      <c r="B122" s="1">
        <v>4</v>
      </c>
      <c r="C122" t="s">
        <v>167</v>
      </c>
      <c r="D122"/>
    </row>
    <row r="123" spans="1:4" ht="17.100000000000001" customHeight="1" x14ac:dyDescent="0.3">
      <c r="A123" s="2" t="s">
        <v>311</v>
      </c>
      <c r="B123" s="1">
        <v>2</v>
      </c>
      <c r="C123" t="s">
        <v>167</v>
      </c>
      <c r="D123"/>
    </row>
    <row r="124" spans="1:4" ht="17.100000000000001" customHeight="1" x14ac:dyDescent="0.3">
      <c r="A124" s="2" t="s">
        <v>312</v>
      </c>
      <c r="B124" s="1">
        <v>3</v>
      </c>
      <c r="C124" t="s">
        <v>167</v>
      </c>
      <c r="D124"/>
    </row>
    <row r="125" spans="1:4" ht="17.100000000000001" customHeight="1" x14ac:dyDescent="0.3">
      <c r="D125"/>
    </row>
    <row r="126" spans="1:4" ht="17.100000000000001" customHeight="1" x14ac:dyDescent="0.3">
      <c r="A126" s="12" t="s">
        <v>248</v>
      </c>
      <c r="D126"/>
    </row>
    <row r="127" spans="1:4" ht="17.100000000000001" customHeight="1" x14ac:dyDescent="0.3">
      <c r="A127" t="s">
        <v>249</v>
      </c>
      <c r="B127" s="1">
        <v>4</v>
      </c>
      <c r="C127" t="s">
        <v>167</v>
      </c>
    </row>
    <row r="128" spans="1:4" ht="17.100000000000001" customHeight="1" x14ac:dyDescent="0.3">
      <c r="A128" t="s">
        <v>250</v>
      </c>
      <c r="B128" s="1">
        <v>3</v>
      </c>
      <c r="C128" t="s">
        <v>167</v>
      </c>
      <c r="D128"/>
    </row>
    <row r="129" spans="1:4" ht="17.100000000000001" customHeight="1" x14ac:dyDescent="0.3">
      <c r="A129" t="s">
        <v>251</v>
      </c>
      <c r="B129" s="1">
        <v>4</v>
      </c>
      <c r="C129" t="s">
        <v>167</v>
      </c>
      <c r="D129"/>
    </row>
    <row r="130" spans="1:4" ht="17.100000000000001" customHeight="1" x14ac:dyDescent="0.3">
      <c r="A130" t="s">
        <v>252</v>
      </c>
      <c r="B130" s="1">
        <v>2</v>
      </c>
      <c r="C130" t="s">
        <v>167</v>
      </c>
      <c r="D130"/>
    </row>
    <row r="131" spans="1:4" ht="17.100000000000001" customHeight="1" x14ac:dyDescent="0.3">
      <c r="A131" t="s">
        <v>315</v>
      </c>
      <c r="B131" s="1">
        <v>4</v>
      </c>
      <c r="C131" t="s">
        <v>167</v>
      </c>
    </row>
    <row r="132" spans="1:4" ht="17.100000000000001" customHeight="1" x14ac:dyDescent="0.3">
      <c r="A132" t="s">
        <v>314</v>
      </c>
      <c r="B132" s="1">
        <v>2</v>
      </c>
      <c r="C132" t="s">
        <v>167</v>
      </c>
      <c r="D132"/>
    </row>
    <row r="133" spans="1:4" ht="17.100000000000001" customHeight="1" x14ac:dyDescent="0.3">
      <c r="D133"/>
    </row>
    <row r="134" spans="1:4" ht="17.100000000000001" customHeight="1" x14ac:dyDescent="0.3">
      <c r="A134" s="12" t="s">
        <v>177</v>
      </c>
    </row>
    <row r="135" spans="1:4" ht="17.100000000000001" customHeight="1" x14ac:dyDescent="0.3">
      <c r="A135" t="s">
        <v>253</v>
      </c>
      <c r="B135" s="1">
        <v>4</v>
      </c>
      <c r="C135" t="s">
        <v>167</v>
      </c>
    </row>
    <row r="136" spans="1:4" ht="17.100000000000001" customHeight="1" x14ac:dyDescent="0.3">
      <c r="A136" t="s">
        <v>254</v>
      </c>
      <c r="B136" s="1">
        <v>3</v>
      </c>
      <c r="C136" t="s">
        <v>167</v>
      </c>
    </row>
    <row r="137" spans="1:4" ht="17.100000000000001" customHeight="1" x14ac:dyDescent="0.3">
      <c r="A137" t="s">
        <v>325</v>
      </c>
      <c r="B137" s="1">
        <v>3</v>
      </c>
      <c r="C137" t="s">
        <v>167</v>
      </c>
    </row>
    <row r="138" spans="1:4" ht="17.100000000000001" customHeight="1" x14ac:dyDescent="0.3">
      <c r="A138" t="s">
        <v>255</v>
      </c>
      <c r="B138" s="1">
        <v>3</v>
      </c>
      <c r="C138" t="s">
        <v>167</v>
      </c>
    </row>
    <row r="139" spans="1:4" ht="17.100000000000001" customHeight="1" x14ac:dyDescent="0.3">
      <c r="A139" t="s">
        <v>318</v>
      </c>
      <c r="B139" s="1">
        <v>3</v>
      </c>
      <c r="C139" t="s">
        <v>167</v>
      </c>
    </row>
    <row r="140" spans="1:4" ht="17.100000000000001" customHeight="1" x14ac:dyDescent="0.3">
      <c r="A140" t="s">
        <v>326</v>
      </c>
      <c r="B140" s="1">
        <v>4</v>
      </c>
      <c r="C140" t="s">
        <v>167</v>
      </c>
      <c r="D140"/>
    </row>
    <row r="141" spans="1:4" ht="17.100000000000001" customHeight="1" x14ac:dyDescent="0.3">
      <c r="A141" t="s">
        <v>256</v>
      </c>
      <c r="B141" s="1">
        <v>3</v>
      </c>
      <c r="C141" t="s">
        <v>167</v>
      </c>
      <c r="D141"/>
    </row>
    <row r="142" spans="1:4" ht="17.100000000000001" customHeight="1" x14ac:dyDescent="0.3">
      <c r="A142" t="s">
        <v>257</v>
      </c>
      <c r="B142" s="1">
        <v>3</v>
      </c>
      <c r="C142" t="s">
        <v>167</v>
      </c>
      <c r="D142"/>
    </row>
    <row r="143" spans="1:4" ht="17.100000000000001" customHeight="1" x14ac:dyDescent="0.3">
      <c r="A143" t="s">
        <v>316</v>
      </c>
      <c r="B143" s="1">
        <v>3</v>
      </c>
      <c r="C143" t="s">
        <v>167</v>
      </c>
      <c r="D143"/>
    </row>
    <row r="144" spans="1:4" ht="17.100000000000001" customHeight="1" x14ac:dyDescent="0.3">
      <c r="A144" t="s">
        <v>258</v>
      </c>
      <c r="B144" s="1">
        <v>3</v>
      </c>
      <c r="C144" t="s">
        <v>167</v>
      </c>
      <c r="D144"/>
    </row>
    <row r="145" spans="1:4" ht="17.100000000000001" customHeight="1" x14ac:dyDescent="0.3">
      <c r="A145" t="s">
        <v>317</v>
      </c>
      <c r="B145" s="1">
        <v>3</v>
      </c>
      <c r="C145" t="s">
        <v>167</v>
      </c>
      <c r="D145"/>
    </row>
    <row r="146" spans="1:4" ht="17.100000000000001" customHeight="1" x14ac:dyDescent="0.3">
      <c r="A146" t="s">
        <v>259</v>
      </c>
      <c r="B146" s="1">
        <v>2</v>
      </c>
      <c r="C146" t="s">
        <v>167</v>
      </c>
      <c r="D146"/>
    </row>
    <row r="147" spans="1:4" ht="17.100000000000001" customHeight="1" x14ac:dyDescent="0.3">
      <c r="A147" t="s">
        <v>327</v>
      </c>
      <c r="B147" s="1">
        <v>2</v>
      </c>
      <c r="C147" t="s">
        <v>167</v>
      </c>
      <c r="D147"/>
    </row>
    <row r="148" spans="1:4" ht="17.100000000000001" customHeight="1" x14ac:dyDescent="0.3">
      <c r="A148" t="s">
        <v>260</v>
      </c>
      <c r="B148" s="1">
        <v>3</v>
      </c>
      <c r="C148" t="s">
        <v>167</v>
      </c>
      <c r="D148"/>
    </row>
    <row r="149" spans="1:4" ht="17.100000000000001" customHeight="1" x14ac:dyDescent="0.3">
      <c r="A149" t="s">
        <v>323</v>
      </c>
      <c r="B149" s="1">
        <v>3</v>
      </c>
      <c r="C149" t="s">
        <v>167</v>
      </c>
      <c r="D149"/>
    </row>
    <row r="150" spans="1:4" ht="17.100000000000001" customHeight="1" x14ac:dyDescent="0.3">
      <c r="A150" t="s">
        <v>261</v>
      </c>
      <c r="B150" s="1">
        <v>4</v>
      </c>
      <c r="C150" t="s">
        <v>167</v>
      </c>
      <c r="D150"/>
    </row>
    <row r="151" spans="1:4" ht="17.100000000000001" customHeight="1" x14ac:dyDescent="0.3">
      <c r="A151" t="s">
        <v>324</v>
      </c>
      <c r="B151" s="1">
        <v>4</v>
      </c>
      <c r="C151" t="s">
        <v>167</v>
      </c>
      <c r="D151"/>
    </row>
    <row r="152" spans="1:4" ht="17.100000000000001" customHeight="1" x14ac:dyDescent="0.3">
      <c r="A152" t="s">
        <v>262</v>
      </c>
      <c r="B152" s="1">
        <v>2</v>
      </c>
      <c r="C152" t="s">
        <v>167</v>
      </c>
      <c r="D152"/>
    </row>
    <row r="153" spans="1:4" ht="17.100000000000001" customHeight="1" x14ac:dyDescent="0.3">
      <c r="A153" t="s">
        <v>321</v>
      </c>
      <c r="B153" s="1">
        <v>2</v>
      </c>
      <c r="C153" t="s">
        <v>167</v>
      </c>
      <c r="D153"/>
    </row>
    <row r="154" spans="1:4" ht="17.100000000000001" customHeight="1" x14ac:dyDescent="0.3">
      <c r="A154" t="s">
        <v>263</v>
      </c>
      <c r="B154" s="1">
        <v>3</v>
      </c>
      <c r="C154" t="s">
        <v>167</v>
      </c>
      <c r="D154"/>
    </row>
    <row r="155" spans="1:4" ht="17.100000000000001" customHeight="1" x14ac:dyDescent="0.3">
      <c r="A155" t="s">
        <v>322</v>
      </c>
      <c r="B155" s="1">
        <v>3</v>
      </c>
      <c r="C155" t="s">
        <v>167</v>
      </c>
      <c r="D155"/>
    </row>
    <row r="156" spans="1:4" ht="17.100000000000001" customHeight="1" x14ac:dyDescent="0.3">
      <c r="A156" t="s">
        <v>320</v>
      </c>
      <c r="B156" s="1">
        <v>4</v>
      </c>
      <c r="C156" t="s">
        <v>167</v>
      </c>
      <c r="D156"/>
    </row>
    <row r="157" spans="1:4" ht="17.100000000000001" customHeight="1" x14ac:dyDescent="0.3">
      <c r="A157" t="s">
        <v>319</v>
      </c>
      <c r="B157" s="1">
        <v>4</v>
      </c>
      <c r="C157" t="s">
        <v>167</v>
      </c>
      <c r="D157"/>
    </row>
    <row r="158" spans="1:4" ht="17.100000000000001" customHeight="1" x14ac:dyDescent="0.3">
      <c r="D158"/>
    </row>
    <row r="159" spans="1:4" ht="17.100000000000001" customHeight="1" x14ac:dyDescent="0.3">
      <c r="A159" s="27" t="s">
        <v>264</v>
      </c>
      <c r="D159"/>
    </row>
    <row r="160" spans="1:4" ht="17.100000000000001" customHeight="1" x14ac:dyDescent="0.3">
      <c r="A160" t="s">
        <v>265</v>
      </c>
      <c r="B160" s="1">
        <v>3.4</v>
      </c>
      <c r="C160" t="s">
        <v>169</v>
      </c>
      <c r="D160"/>
    </row>
    <row r="161" spans="1:4" ht="17.100000000000001" customHeight="1" x14ac:dyDescent="0.3">
      <c r="A161" s="2" t="s">
        <v>266</v>
      </c>
      <c r="B161" s="1">
        <v>3.4</v>
      </c>
      <c r="C161" t="s">
        <v>169</v>
      </c>
      <c r="D161"/>
    </row>
    <row r="162" spans="1:4" ht="17.100000000000001" customHeight="1" x14ac:dyDescent="0.3">
      <c r="A162" t="s">
        <v>267</v>
      </c>
      <c r="B162" s="1">
        <v>4</v>
      </c>
      <c r="C162" t="s">
        <v>169</v>
      </c>
      <c r="D162"/>
    </row>
    <row r="163" spans="1:4" ht="17.100000000000001" customHeight="1" x14ac:dyDescent="0.3">
      <c r="A163" s="2" t="s">
        <v>268</v>
      </c>
      <c r="B163" s="1">
        <v>4</v>
      </c>
      <c r="C163" t="s">
        <v>169</v>
      </c>
      <c r="D163"/>
    </row>
    <row r="164" spans="1:4" ht="17.100000000000001" customHeight="1" x14ac:dyDescent="0.3">
      <c r="A164" t="s">
        <v>269</v>
      </c>
      <c r="B164" s="1">
        <v>3</v>
      </c>
      <c r="C164" t="s">
        <v>169</v>
      </c>
      <c r="D164"/>
    </row>
    <row r="165" spans="1:4" ht="17.100000000000001" customHeight="1" x14ac:dyDescent="0.3">
      <c r="A165" t="s">
        <v>270</v>
      </c>
      <c r="B165" s="1">
        <v>4</v>
      </c>
      <c r="C165" t="s">
        <v>169</v>
      </c>
      <c r="D165"/>
    </row>
    <row r="166" spans="1:4" ht="17.100000000000001" customHeight="1" x14ac:dyDescent="0.3">
      <c r="A166" s="2" t="s">
        <v>271</v>
      </c>
      <c r="B166" s="1">
        <v>4</v>
      </c>
      <c r="C166" t="s">
        <v>169</v>
      </c>
      <c r="D166"/>
    </row>
    <row r="167" spans="1:4" ht="17.100000000000001" customHeight="1" x14ac:dyDescent="0.3">
      <c r="A167" t="s">
        <v>272</v>
      </c>
      <c r="B167" s="1">
        <v>4</v>
      </c>
      <c r="C167" t="s">
        <v>169</v>
      </c>
      <c r="D167"/>
    </row>
    <row r="168" spans="1:4" ht="17.100000000000001" customHeight="1" x14ac:dyDescent="0.3">
      <c r="A168" t="s">
        <v>273</v>
      </c>
      <c r="B168" s="1">
        <v>3</v>
      </c>
      <c r="C168" t="s">
        <v>169</v>
      </c>
      <c r="D168"/>
    </row>
    <row r="169" spans="1:4" ht="17.100000000000001" customHeight="1" x14ac:dyDescent="0.3">
      <c r="A169" s="2" t="s">
        <v>331</v>
      </c>
      <c r="B169" s="1">
        <v>4</v>
      </c>
      <c r="C169" t="s">
        <v>169</v>
      </c>
      <c r="D169"/>
    </row>
    <row r="170" spans="1:4" ht="17.100000000000001" customHeight="1" x14ac:dyDescent="0.3">
      <c r="D170"/>
    </row>
    <row r="171" spans="1:4" ht="17.100000000000001" customHeight="1" x14ac:dyDescent="0.3">
      <c r="D171"/>
    </row>
    <row r="172" spans="1:4" ht="17.100000000000001" customHeight="1" x14ac:dyDescent="0.3">
      <c r="A172" s="2"/>
    </row>
    <row r="173" spans="1:4" ht="17.100000000000001" customHeight="1" x14ac:dyDescent="0.3">
      <c r="A173" s="2"/>
    </row>
    <row r="174" spans="1:4" ht="17.100000000000001" customHeight="1" x14ac:dyDescent="0.3">
      <c r="A174" s="2"/>
      <c r="D174"/>
    </row>
    <row r="175" spans="1:4" ht="17.100000000000001" customHeight="1" x14ac:dyDescent="0.3">
      <c r="A175" s="2"/>
      <c r="D175"/>
    </row>
    <row r="176" spans="1:4" ht="17.100000000000001" customHeight="1" x14ac:dyDescent="0.3">
      <c r="A176" s="2"/>
      <c r="B176"/>
      <c r="D176"/>
    </row>
    <row r="177" spans="1:4" ht="17.100000000000001" customHeight="1" x14ac:dyDescent="0.3">
      <c r="A177" s="2"/>
      <c r="B177"/>
      <c r="D177"/>
    </row>
    <row r="178" spans="1:4" ht="17.100000000000001" customHeight="1" x14ac:dyDescent="0.3">
      <c r="A178" s="2"/>
      <c r="B178"/>
      <c r="D178"/>
    </row>
    <row r="179" spans="1:4" ht="17.100000000000001" customHeight="1" x14ac:dyDescent="0.3">
      <c r="B179"/>
      <c r="D179"/>
    </row>
    <row r="180" spans="1:4" ht="17.100000000000001" customHeight="1" x14ac:dyDescent="0.3">
      <c r="B180"/>
      <c r="D180"/>
    </row>
  </sheetData>
  <sortState xmlns:xlrd2="http://schemas.microsoft.com/office/spreadsheetml/2017/richdata2" ref="A21:B57">
    <sortCondition ref="A21:A57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7" t="s">
        <v>119</v>
      </c>
      <c r="I2" s="177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274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7" t="s">
        <v>119</v>
      </c>
      <c r="I34" s="177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274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275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c406f8-464c-4570-abf8-94f450041b06">
      <Terms xmlns="http://schemas.microsoft.com/office/infopath/2007/PartnerControls"/>
    </lcf76f155ced4ddcb4097134ff3c332f>
    <Trefwoord xmlns="D6B742D0-7BE2-4B7C-9AD9-F76034AC3B5C" xsi:nil="true"/>
    <TaxCatchAll xmlns="c9f2c270-db16-4e40-827e-a9d702d241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4F7CBB05BCA7468ECB9275C4D93DB2" ma:contentTypeVersion="" ma:contentTypeDescription="Een nieuw document maken." ma:contentTypeScope="" ma:versionID="338a7093b5156e3c29854cb417318e26">
  <xsd:schema xmlns:xsd="http://www.w3.org/2001/XMLSchema" xmlns:xs="http://www.w3.org/2001/XMLSchema" xmlns:p="http://schemas.microsoft.com/office/2006/metadata/properties" xmlns:ns2="D6B742D0-7BE2-4B7C-9AD9-F76034AC3B5C" xmlns:ns3="2399d28f-c60f-4489-9fda-6fa4cfad986d" xmlns:ns4="d2b50834-ce20-4e2c-91b4-6d6b06eb35f2" xmlns:ns5="51c406f8-464c-4570-abf8-94f450041b06" xmlns:ns6="c9f2c270-db16-4e40-827e-a9d702d241e0" targetNamespace="http://schemas.microsoft.com/office/2006/metadata/properties" ma:root="true" ma:fieldsID="0accfd8bfcf3327856d497d5e08dd832" ns2:_="" ns3:_="" ns4:_="" ns5:_="" ns6:_="">
    <xsd:import namespace="D6B742D0-7BE2-4B7C-9AD9-F76034AC3B5C"/>
    <xsd:import namespace="2399d28f-c60f-4489-9fda-6fa4cfad986d"/>
    <xsd:import namespace="d2b50834-ce20-4e2c-91b4-6d6b06eb35f2"/>
    <xsd:import namespace="51c406f8-464c-4570-abf8-94f450041b06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Trefwoord" minOccurs="0"/>
                <xsd:element ref="ns3:SharedWithUsers" minOccurs="0"/>
                <xsd:element ref="ns3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lcf76f155ced4ddcb4097134ff3c332f" minOccurs="0"/>
                <xsd:element ref="ns6:TaxCatchAll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742D0-7BE2-4B7C-9AD9-F76034AC3B5C" elementFormDefault="qualified">
    <xsd:import namespace="http://schemas.microsoft.com/office/2006/documentManagement/types"/>
    <xsd:import namespace="http://schemas.microsoft.com/office/infopath/2007/PartnerControls"/>
    <xsd:element name="Trefwoord" ma:index="8" nillable="true" ma:displayName="Trefwoord" ma:format="Dropdown" ma:indexed="true" ma:internalName="Trefwoord">
      <xsd:simpleType>
        <xsd:restriction base="dms:Choice">
          <xsd:enumeration value="Absentie"/>
          <xsd:enumeration value="Agenda"/>
          <xsd:enumeration value="BPV"/>
          <xsd:enumeration value="Decanaat"/>
          <xsd:enumeration value="Examen"/>
          <xsd:enumeration value="Lesmateriaal"/>
          <xsd:enumeration value="Notulen"/>
          <xsd:enumeration value="Toet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50834-ce20-4e2c-91b4-6d6b06eb35f2" elementFormDefault="qualified">
    <xsd:import namespace="http://schemas.microsoft.com/office/2006/documentManagement/types"/>
    <xsd:import namespace="http://schemas.microsoft.com/office/infopath/2007/PartnerControls"/>
    <xsd:element name="LastSharedByUser" ma:index="11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406f8-464c-4570-abf8-94f450041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customXml/itemProps2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135B98-62DE-4ADF-B1ED-33D5F1E5E5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B742D0-7BE2-4B7C-9AD9-F76034AC3B5C"/>
    <ds:schemaRef ds:uri="2399d28f-c60f-4489-9fda-6fa4cfad986d"/>
    <ds:schemaRef ds:uri="d2b50834-ce20-4e2c-91b4-6d6b06eb35f2"/>
    <ds:schemaRef ds:uri="51c406f8-464c-4570-abf8-94f450041b06"/>
    <ds:schemaRef ds:uri="c9f2c270-db16-4e40-827e-a9d702d24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A.H. (Anneke) Woudenberg - Vlot (AHVt)</cp:lastModifiedBy>
  <cp:revision/>
  <cp:lastPrinted>2023-11-28T13:37:04Z</cp:lastPrinted>
  <dcterms:created xsi:type="dcterms:W3CDTF">2014-05-19T17:20:27Z</dcterms:created>
  <dcterms:modified xsi:type="dcterms:W3CDTF">2024-06-20T09:04:05Z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0x010100114F7CBB05BCA7468ECB9275C4D93DB2</vt:lpwstr>
  </property>
  <property fmtid="{D5CDD505-2E9C-101B-9397-08002B2CF9AE}" pid="3" name="MediaServiceImageTags">
    <vt:lpwstr/>
  </property>
</Properties>
</file>